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0200" windowHeight="5190" tabRatio="299" firstSheet="1" activeTab="1"/>
  </bookViews>
  <sheets>
    <sheet name="Comparativa" sheetId="2" r:id="rId1"/>
    <sheet name="Calculadora" sheetId="6" r:id="rId2"/>
    <sheet name="Base de Datos" sheetId="9" r:id="rId3"/>
    <sheet name="BD Respaldo" sheetId="10" state="hidden" r:id="rId4"/>
  </sheets>
  <definedNames>
    <definedName name="_xlnm.Print_Area" localSheetId="2">'Base de Datos'!$A$1:$I$62</definedName>
    <definedName name="_xlnm.Print_Area" localSheetId="3">'BD Respaldo'!$A$1:$I$61</definedName>
    <definedName name="_xlnm.Print_Area" localSheetId="1">Calculadora!$C$1:$T$68</definedName>
    <definedName name="Blanco">Comparativa!$K$10:$K$14</definedName>
  </definedNames>
  <calcPr calcId="125725"/>
</workbook>
</file>

<file path=xl/calcChain.xml><?xml version="1.0" encoding="utf-8"?>
<calcChain xmlns="http://schemas.openxmlformats.org/spreadsheetml/2006/main">
  <c r="X122" i="6"/>
  <c r="S67" l="1"/>
  <c r="C41" i="10"/>
  <c r="C40"/>
  <c r="C38"/>
  <c r="C37"/>
  <c r="C35"/>
  <c r="C34"/>
  <c r="C32"/>
  <c r="C31"/>
  <c r="C28"/>
  <c r="C27"/>
  <c r="C26"/>
  <c r="C25"/>
  <c r="D7" i="6" l="1"/>
  <c r="AC116"/>
  <c r="AC115"/>
  <c r="X117"/>
  <c r="C41" i="9"/>
  <c r="X119" i="6" s="1"/>
  <c r="C40" i="9"/>
  <c r="X118" i="6" s="1"/>
  <c r="C38" i="9"/>
  <c r="X116" i="6" s="1"/>
  <c r="C37" i="9"/>
  <c r="X115" i="6" s="1"/>
  <c r="Z141" l="1"/>
  <c r="C35" i="9"/>
  <c r="X113" i="6" s="1"/>
  <c r="C34" i="9"/>
  <c r="X112" i="6" s="1"/>
  <c r="C32" i="9"/>
  <c r="X110" i="6" s="1"/>
  <c r="C31" i="9"/>
  <c r="X109" i="6" s="1"/>
  <c r="AC108"/>
  <c r="X111"/>
  <c r="X114"/>
  <c r="AC102"/>
  <c r="AC109" s="1"/>
  <c r="C28" i="9"/>
  <c r="X106" i="6" s="1"/>
  <c r="C27" i="9"/>
  <c r="X105" i="6" s="1"/>
  <c r="C26" i="9"/>
  <c r="X104" i="6" s="1"/>
  <c r="C25" i="9"/>
  <c r="X103" i="6" s="1"/>
  <c r="Z140"/>
  <c r="Y138"/>
  <c r="X138"/>
  <c r="I28" s="1"/>
  <c r="G32"/>
  <c r="G35"/>
  <c r="X133"/>
  <c r="X134"/>
  <c r="X135"/>
  <c r="X132"/>
  <c r="X128"/>
  <c r="X129"/>
  <c r="X127"/>
  <c r="X123"/>
  <c r="X124"/>
  <c r="X125"/>
  <c r="X121"/>
  <c r="X120" s="1"/>
  <c r="X108"/>
  <c r="X102"/>
  <c r="X101"/>
  <c r="Y99"/>
  <c r="Y98"/>
  <c r="Y97"/>
  <c r="X97"/>
  <c r="X98"/>
  <c r="X99"/>
  <c r="Y96"/>
  <c r="X96"/>
  <c r="X92"/>
  <c r="X93"/>
  <c r="X91"/>
  <c r="Y87"/>
  <c r="Z87"/>
  <c r="AA87"/>
  <c r="AB87"/>
  <c r="AC87"/>
  <c r="Y86"/>
  <c r="Z86"/>
  <c r="AA86"/>
  <c r="AB86"/>
  <c r="AC86"/>
  <c r="Y85"/>
  <c r="Z85"/>
  <c r="AA85"/>
  <c r="AB85"/>
  <c r="AC85"/>
  <c r="X85"/>
  <c r="X86"/>
  <c r="X87"/>
  <c r="Y84"/>
  <c r="Z84"/>
  <c r="AA84"/>
  <c r="AB84"/>
  <c r="AC84"/>
  <c r="X84"/>
  <c r="AB83" l="1"/>
  <c r="Z83"/>
  <c r="X107"/>
  <c r="AC83"/>
  <c r="AA83"/>
  <c r="Y83"/>
  <c r="Z119"/>
  <c r="Y141" s="1"/>
  <c r="Y107"/>
  <c r="Z116"/>
  <c r="Z118"/>
  <c r="Z115"/>
  <c r="Z109"/>
  <c r="Z113"/>
  <c r="Z112"/>
  <c r="Z110"/>
  <c r="X141" s="1"/>
  <c r="X100"/>
  <c r="G24"/>
  <c r="AC101" s="1"/>
  <c r="Z103" s="1"/>
  <c r="X140" s="1"/>
  <c r="X142" l="1"/>
  <c r="Z105"/>
  <c r="Z104"/>
  <c r="Z106"/>
  <c r="Y140" s="1"/>
  <c r="Y142" s="1"/>
  <c r="X131"/>
  <c r="I45" s="1"/>
  <c r="Y95" l="1"/>
  <c r="X95"/>
  <c r="G46"/>
  <c r="G45"/>
  <c r="I24" l="1"/>
  <c r="L24" s="1"/>
  <c r="G19"/>
  <c r="X126" l="1"/>
  <c r="I40" s="1"/>
  <c r="X130"/>
  <c r="I35"/>
  <c r="I36"/>
  <c r="I32"/>
  <c r="I25"/>
  <c r="Q25" s="1"/>
  <c r="D60"/>
  <c r="Q46" l="1"/>
  <c r="L45"/>
  <c r="G40"/>
  <c r="Q40" s="1"/>
  <c r="G13"/>
  <c r="X94"/>
  <c r="X90" s="1"/>
  <c r="X88"/>
  <c r="AD87" s="1"/>
  <c r="AD86"/>
  <c r="B29" i="2"/>
  <c r="AD89" i="6" l="1"/>
  <c r="X83"/>
  <c r="AD84" s="1"/>
  <c r="AF85" s="1"/>
  <c r="AD85"/>
  <c r="AD88"/>
  <c r="Q36"/>
  <c r="L35"/>
  <c r="Q32"/>
  <c r="L32"/>
  <c r="L40"/>
  <c r="I19"/>
  <c r="L19" s="1"/>
  <c r="Q19" s="1"/>
  <c r="L13" l="1"/>
  <c r="Q13" s="1"/>
  <c r="I13"/>
  <c r="Q38"/>
  <c r="Q28" s="1"/>
  <c r="L28" s="1"/>
  <c r="L51" l="1"/>
  <c r="Q51"/>
  <c r="M53" l="1"/>
  <c r="M55" s="1"/>
  <c r="M54" l="1"/>
</calcChain>
</file>

<file path=xl/sharedStrings.xml><?xml version="1.0" encoding="utf-8"?>
<sst xmlns="http://schemas.openxmlformats.org/spreadsheetml/2006/main" count="335" uniqueCount="167">
  <si>
    <t>TERRENO</t>
  </si>
  <si>
    <t>Regular</t>
  </si>
  <si>
    <t>Premium</t>
  </si>
  <si>
    <t>CIMENTACION + OBRA GRIS</t>
  </si>
  <si>
    <t>ACABADOS</t>
  </si>
  <si>
    <t>CLIMAS</t>
  </si>
  <si>
    <t>OPERACIÓN</t>
  </si>
  <si>
    <t>Total</t>
  </si>
  <si>
    <t>m2</t>
  </si>
  <si>
    <t>Terreno Irregular</t>
  </si>
  <si>
    <t>INVERSIÓN EN SEGMENTO RESIDENCIAL</t>
  </si>
  <si>
    <t>Block O y U Exterior</t>
  </si>
  <si>
    <t>Losa de Azotea</t>
  </si>
  <si>
    <t>HEBEL</t>
  </si>
  <si>
    <t>TRADICIONAL</t>
  </si>
  <si>
    <t>Terreno</t>
  </si>
  <si>
    <t>Construcción</t>
  </si>
  <si>
    <t>Costo por m2</t>
  </si>
  <si>
    <t>Refrigeración Variable</t>
  </si>
  <si>
    <t>Terreno Regular</t>
  </si>
  <si>
    <t>Terreno Residencial</t>
  </si>
  <si>
    <t>Terreno Premium</t>
  </si>
  <si>
    <t>Otro Tipo</t>
  </si>
  <si>
    <t>Acabados:</t>
  </si>
  <si>
    <t>Climatización:</t>
  </si>
  <si>
    <t>TERRENO:</t>
  </si>
  <si>
    <t>Terreno:</t>
  </si>
  <si>
    <t>ACABADOS:</t>
  </si>
  <si>
    <t>CLIMATIZACIÓN:</t>
  </si>
  <si>
    <t>Terreno Campestre</t>
  </si>
  <si>
    <r>
      <t>M</t>
    </r>
    <r>
      <rPr>
        <b/>
        <vertAlign val="superscript"/>
        <sz val="12"/>
        <color theme="1"/>
        <rFont val="Arial"/>
        <family val="2"/>
      </rPr>
      <t xml:space="preserve">2 </t>
    </r>
    <r>
      <rPr>
        <b/>
        <sz val="12"/>
        <color theme="1"/>
        <rFont val="Arial"/>
        <family val="2"/>
      </rPr>
      <t>Terreno:</t>
    </r>
  </si>
  <si>
    <r>
      <t>$ / 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:</t>
    </r>
  </si>
  <si>
    <r>
      <t>M</t>
    </r>
    <r>
      <rPr>
        <b/>
        <vertAlign val="superscript"/>
        <sz val="12"/>
        <color theme="1"/>
        <rFont val="Arial"/>
        <family val="2"/>
      </rPr>
      <t xml:space="preserve">2 </t>
    </r>
    <r>
      <rPr>
        <b/>
        <sz val="12"/>
        <color theme="1"/>
        <rFont val="Arial"/>
        <family val="2"/>
      </rPr>
      <t>Const:</t>
    </r>
  </si>
  <si>
    <t>Información General:</t>
  </si>
  <si>
    <r>
      <t>Otro Tipo ($/M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):</t>
    </r>
  </si>
  <si>
    <r>
      <t>M</t>
    </r>
    <r>
      <rPr>
        <b/>
        <vertAlign val="superscript"/>
        <sz val="12"/>
        <color theme="1"/>
        <rFont val="Arial"/>
        <family val="2"/>
      </rPr>
      <t xml:space="preserve">2 </t>
    </r>
    <r>
      <rPr>
        <b/>
        <sz val="12"/>
        <color theme="1"/>
        <rFont val="Arial"/>
        <family val="2"/>
      </rPr>
      <t>Muros:</t>
    </r>
  </si>
  <si>
    <t>INVERSIÓN                             SISTEMA HEBEL</t>
  </si>
  <si>
    <t>INVERSIÓN                            SISTEMA TRADICIONAL</t>
  </si>
  <si>
    <t>Muros Exteriores:</t>
  </si>
  <si>
    <t>Losa de Entrepiso</t>
  </si>
  <si>
    <t>Obra Gris - Muros:</t>
  </si>
  <si>
    <t>Obra Gris - Sistema de Losas:</t>
  </si>
  <si>
    <r>
      <t>M</t>
    </r>
    <r>
      <rPr>
        <b/>
        <vertAlign val="superscript"/>
        <sz val="12"/>
        <color theme="1"/>
        <rFont val="Arial"/>
        <family val="2"/>
      </rPr>
      <t xml:space="preserve">2 </t>
    </r>
    <r>
      <rPr>
        <b/>
        <sz val="12"/>
        <color theme="1"/>
        <rFont val="Arial"/>
        <family val="2"/>
      </rPr>
      <t>Losa:</t>
    </r>
  </si>
  <si>
    <t>Acabados en Muros y Losas:</t>
  </si>
  <si>
    <t>Sistema Climatización:</t>
  </si>
  <si>
    <t>Toneladas:</t>
  </si>
  <si>
    <t>$ / Ton:</t>
  </si>
  <si>
    <t>Cimentación y Firme:</t>
  </si>
  <si>
    <t>Mamp Confinada Hebel 15cm</t>
  </si>
  <si>
    <t>Mamp Confinada Hebel 20cm</t>
  </si>
  <si>
    <t>Mampostería Tradicional 15cm</t>
  </si>
  <si>
    <t>CIMENTACIÓN Y FIRME:</t>
  </si>
  <si>
    <t>OBRA GRIS - Muros:</t>
  </si>
  <si>
    <t>Mampostería Tradicional 20cm</t>
  </si>
  <si>
    <t>Mampostería Reforzada Hebel 15cm</t>
  </si>
  <si>
    <t>Mampostería Reforzada Hebel 20cm</t>
  </si>
  <si>
    <t>Losa Aligerada Barroblock 15cm</t>
  </si>
  <si>
    <t>Losa Aligerada Barroblock 20cm</t>
  </si>
  <si>
    <t>Vigueta y Bovedilla 15cm</t>
  </si>
  <si>
    <t>Vigueta y Bovedilla 20cm</t>
  </si>
  <si>
    <t>Panel Hebel para Losa 15.0cm</t>
  </si>
  <si>
    <t>Panel Hebel para Losa 17.5cm</t>
  </si>
  <si>
    <t>Panel Hebel para Losa 20.0cm</t>
  </si>
  <si>
    <t>Panel Hebel para Losa 25.0cm</t>
  </si>
  <si>
    <t>Acabado Regular</t>
  </si>
  <si>
    <t>Acabado Residencial</t>
  </si>
  <si>
    <t>Acabado Premium</t>
  </si>
  <si>
    <t>Sistema MiniSplit</t>
  </si>
  <si>
    <t>Paquete Sistema Central</t>
  </si>
  <si>
    <t>Sistema VRF (Flujo Variable Ref)</t>
  </si>
  <si>
    <t>TOTAL INVERSIÓN:</t>
  </si>
  <si>
    <t>$/Mes:</t>
  </si>
  <si>
    <t>Dif. Sistema Hebel vs. Tradicional (Porcentaje):</t>
  </si>
  <si>
    <t>Dif. Sistema Hebel vs. Tradicional (Pesos):</t>
  </si>
  <si>
    <t>Hebel</t>
  </si>
  <si>
    <t>Tradicional</t>
  </si>
  <si>
    <t>Costo de Operación x Climatización:</t>
  </si>
  <si>
    <t>Dif. Hebel vs. Tradicional - Mensual:</t>
  </si>
  <si>
    <t>Dif. Hebel vs. Tradicional - Anual:</t>
  </si>
  <si>
    <t>OBRA GRIS - Losa Hebel:</t>
  </si>
  <si>
    <t>OBRA GRIS - Losas Tradicional:</t>
  </si>
  <si>
    <t>OBRA GRIS - Muros Hebel:</t>
  </si>
  <si>
    <t>Inversión en Segmento Habitacional</t>
  </si>
  <si>
    <t>Zapata Corrida y Firme</t>
  </si>
  <si>
    <t>Zapatas Aisladas y Firme</t>
  </si>
  <si>
    <t>Cim Piloteada y Firme</t>
  </si>
  <si>
    <t>No</t>
  </si>
  <si>
    <t>Otra Capacidad - Hebel:</t>
  </si>
  <si>
    <t>Otra Capacidad - Tradicional:</t>
  </si>
  <si>
    <t>Notas:</t>
  </si>
  <si>
    <t>Izq = Costo Vivienda Media</t>
  </si>
  <si>
    <t>Der= Costo Vivienda Residencial</t>
  </si>
  <si>
    <t>Sin Climatización</t>
  </si>
  <si>
    <t>Resto de Obra Gris:</t>
  </si>
  <si>
    <t>Sin Inversión en Terreno</t>
  </si>
  <si>
    <t>En Construcción</t>
  </si>
  <si>
    <t>Sistema Hebel vs. Tradicional</t>
  </si>
  <si>
    <t>Sistema Fan &amp; Coil</t>
  </si>
  <si>
    <t>Precios Vigentes a 28-Noviembre-2012</t>
  </si>
  <si>
    <t>Base de Datos - Segmento Habitacional</t>
  </si>
  <si>
    <r>
      <t>$ / m</t>
    </r>
    <r>
      <rPr>
        <b/>
        <vertAlign val="superscript"/>
        <sz val="12"/>
        <color rgb="FF0000FF"/>
        <rFont val="Arial"/>
        <family val="2"/>
      </rPr>
      <t xml:space="preserve">2 </t>
    </r>
    <r>
      <rPr>
        <b/>
        <sz val="12"/>
        <color rgb="FF0000FF"/>
        <rFont val="Arial"/>
        <family val="2"/>
      </rPr>
      <t>Const</t>
    </r>
  </si>
  <si>
    <r>
      <t xml:space="preserve">Mas Bajo---------&gt;Rango de Precios [ </t>
    </r>
    <r>
      <rPr>
        <b/>
        <sz val="12"/>
        <color rgb="FF0000FF"/>
        <rFont val="Arial"/>
        <family val="2"/>
      </rPr>
      <t>$ / m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Terreno</t>
    </r>
    <r>
      <rPr>
        <b/>
        <sz val="12"/>
        <color theme="1"/>
        <rFont val="Arial"/>
        <family val="2"/>
      </rPr>
      <t>]---------&gt;Mas Alto</t>
    </r>
  </si>
  <si>
    <r>
      <t xml:space="preserve"> $ / m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rgb="FF0000FF"/>
        <rFont val="Arial"/>
        <family val="2"/>
      </rPr>
      <t xml:space="preserve"> Muro</t>
    </r>
  </si>
  <si>
    <r>
      <t xml:space="preserve"> $ / m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rgb="FF0000FF"/>
        <rFont val="Arial"/>
        <family val="2"/>
      </rPr>
      <t xml:space="preserve"> Losa</t>
    </r>
  </si>
  <si>
    <r>
      <t xml:space="preserve"> $ / m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rgb="FF0000FF"/>
        <rFont val="Arial"/>
        <family val="2"/>
      </rPr>
      <t xml:space="preserve"> Const</t>
    </r>
  </si>
  <si>
    <r>
      <t xml:space="preserve"> $ / </t>
    </r>
    <r>
      <rPr>
        <b/>
        <sz val="12"/>
        <color rgb="FF0000FF"/>
        <rFont val="Arial"/>
        <family val="2"/>
      </rPr>
      <t>Ton.</t>
    </r>
  </si>
  <si>
    <t>Mampostería Trad 15cm + PSX 1Pulg</t>
  </si>
  <si>
    <t>Mampostería Trad 15cm + PSX 2Pulg</t>
  </si>
  <si>
    <t>Mampostería Trad 20cm + PSX 1Pulg</t>
  </si>
  <si>
    <t>Muros Interiores, Escaleras, Inst Electricas e Hidro-Sanitarias, etc.</t>
  </si>
  <si>
    <r>
      <t>Otra Cantidad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Muros:</t>
    </r>
  </si>
  <si>
    <t>Precios: 28Nov2012 Monterrey, NL</t>
  </si>
  <si>
    <r>
      <t>M</t>
    </r>
    <r>
      <rPr>
        <b/>
        <vertAlign val="superscript"/>
        <sz val="12"/>
        <color theme="1"/>
        <rFont val="Arial"/>
        <family val="2"/>
      </rPr>
      <t xml:space="preserve">2 </t>
    </r>
    <r>
      <rPr>
        <b/>
        <sz val="12"/>
        <color theme="1"/>
        <rFont val="Arial"/>
        <family val="2"/>
      </rPr>
      <t>Losa de Azotea:</t>
    </r>
  </si>
  <si>
    <t>15cm</t>
  </si>
  <si>
    <t>20cm</t>
  </si>
  <si>
    <t>Costo Total Obra Gris Tradiciona:</t>
  </si>
  <si>
    <r>
      <t>$ / m</t>
    </r>
    <r>
      <rPr>
        <b/>
        <vertAlign val="superscript"/>
        <sz val="10"/>
        <color rgb="FF0000FF"/>
        <rFont val="Arial"/>
        <family val="2"/>
      </rPr>
      <t xml:space="preserve">2 </t>
    </r>
    <r>
      <rPr>
        <b/>
        <sz val="10"/>
        <color rgb="FF0000FF"/>
        <rFont val="Arial"/>
        <family val="2"/>
      </rPr>
      <t>Const OG            en 15cm</t>
    </r>
  </si>
  <si>
    <r>
      <t>$ / m</t>
    </r>
    <r>
      <rPr>
        <b/>
        <vertAlign val="superscript"/>
        <sz val="10"/>
        <color rgb="FF0000FF"/>
        <rFont val="Arial"/>
        <family val="2"/>
      </rPr>
      <t xml:space="preserve">2 </t>
    </r>
    <r>
      <rPr>
        <b/>
        <sz val="10"/>
        <color rgb="FF0000FF"/>
        <rFont val="Arial"/>
        <family val="2"/>
      </rPr>
      <t>Const OG            en 20cm</t>
    </r>
  </si>
  <si>
    <t>Dif 1"</t>
  </si>
  <si>
    <t>Dif 2"</t>
  </si>
  <si>
    <t>Aislamiento</t>
  </si>
  <si>
    <t>Total:</t>
  </si>
  <si>
    <t>Mampostería Trad 20cm + PSX 2Pulg</t>
  </si>
  <si>
    <t>Analizando:</t>
  </si>
  <si>
    <r>
      <t>Costo total estimado de toda la Obra Gris Tradicional por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de Construcción (Cimentación, Firme, Muros Ext, Muros Int, Losa Ent y Azotea, Escaleras, Instalaciones, etc.). Sin Acabados.</t>
    </r>
  </si>
  <si>
    <t>$ x M2 de Construcción.</t>
  </si>
  <si>
    <t>Costo Promedio</t>
  </si>
  <si>
    <t>Incluye Suministro e Instalación.</t>
  </si>
  <si>
    <t>Base de Datos:</t>
  </si>
  <si>
    <t>Poliestireno Extruido (PSX) - 1 Pulg.</t>
  </si>
  <si>
    <t>Poliestireno Extruido (PSX) - 2 Pulg.</t>
  </si>
  <si>
    <t>Aislamiento Térmico - Otros:</t>
  </si>
  <si>
    <t>M2 Const:</t>
  </si>
  <si>
    <t>M2 Muros:</t>
  </si>
  <si>
    <r>
      <t xml:space="preserve"> $ / m</t>
    </r>
    <r>
      <rPr>
        <b/>
        <vertAlign val="superscript"/>
        <sz val="12"/>
        <color rgb="FF0000FF"/>
        <rFont val="Arial"/>
        <family val="2"/>
      </rPr>
      <t xml:space="preserve">2 </t>
    </r>
    <r>
      <rPr>
        <b/>
        <sz val="12"/>
        <color rgb="FF0000FF"/>
        <rFont val="Arial"/>
        <family val="2"/>
      </rPr>
      <t>Muro</t>
    </r>
  </si>
  <si>
    <t>Incluye Empastado en Losa / Sin Acab en Muro</t>
  </si>
  <si>
    <t>PSX = Poliestireno Extruido en Muro.</t>
  </si>
  <si>
    <t>Losa Aligerada Barroblock 15cm + PSX 1Pulg</t>
  </si>
  <si>
    <t>Losa Aligerada Barroblock 15cm + PSX 2Pulg</t>
  </si>
  <si>
    <t>Losa Aligerada Barroblock 20cm + PSX 1Pulg</t>
  </si>
  <si>
    <t>Losa Aligerada Barroblock 20cm + PSX 2Pulg</t>
  </si>
  <si>
    <r>
      <t xml:space="preserve"> $ / m</t>
    </r>
    <r>
      <rPr>
        <b/>
        <vertAlign val="superscript"/>
        <sz val="12"/>
        <color rgb="FF0000FF"/>
        <rFont val="Arial"/>
        <family val="2"/>
      </rPr>
      <t xml:space="preserve">2 </t>
    </r>
    <r>
      <rPr>
        <b/>
        <sz val="12"/>
        <color rgb="FF0000FF"/>
        <rFont val="Arial"/>
        <family val="2"/>
      </rPr>
      <t>Losa</t>
    </r>
  </si>
  <si>
    <t>Der= EntTrad, Izq= AzoteaTrad.</t>
  </si>
  <si>
    <t>M2 Azotea:</t>
  </si>
  <si>
    <t>Aislamiento en Muros Exteriores Tradicionales</t>
  </si>
  <si>
    <t>Aislamiento en Losa de Azotea Tradicional</t>
  </si>
  <si>
    <r>
      <t>Viv. Media                    $ / m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rgb="FF0000FF"/>
        <rFont val="Arial"/>
        <family val="2"/>
      </rPr>
      <t xml:space="preserve"> Muro</t>
    </r>
  </si>
  <si>
    <r>
      <t>Viv. Resid                              $ / m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rgb="FF0000FF"/>
        <rFont val="Arial"/>
        <family val="2"/>
      </rPr>
      <t xml:space="preserve"> Muro</t>
    </r>
  </si>
  <si>
    <t>No Considerar</t>
  </si>
  <si>
    <t>Vigueta y Bovedilla 15cm + PSX 1Pulg</t>
  </si>
  <si>
    <t>Vigueta y Bovedilla 15cm + PSX 2Pulg</t>
  </si>
  <si>
    <t>Vigueta y Bovedilla 20cm + PSX 1Pulg</t>
  </si>
  <si>
    <t>Vigueta y Bovedilla 20cm + PSX 2Pulg</t>
  </si>
  <si>
    <t>Incluye Material y Mano de Obra.                                                                                PSX = Poliestireno Extruido en Losa.</t>
  </si>
  <si>
    <t>Analzando:</t>
  </si>
  <si>
    <t>Precios al 28 Nov 2012 Monterrey, NL - Final par Revisión 03 - 06Dic2012</t>
  </si>
  <si>
    <t>Copyright Xella Mexicana SA de CV [ File: xm2013 Rev 3 ]</t>
  </si>
  <si>
    <t>Copyright - Xella Mexicana, SA  de CV</t>
  </si>
  <si>
    <t>PSX = Poliestireno Extruido en 1 ó 2 Pulgadas.</t>
  </si>
  <si>
    <t>Precios MN - Sin IVA</t>
  </si>
  <si>
    <t>Default = $3,500 en 15cm, $4,000 en 20cm.                                                                                                No incluir Aislamiento Adicional de otros materiales.</t>
  </si>
  <si>
    <t>$/OG Base:</t>
  </si>
  <si>
    <t xml:space="preserve"> Calculadora v12.1211 Rev 4</t>
  </si>
  <si>
    <t>No.</t>
  </si>
  <si>
    <t>$ / M2</t>
  </si>
  <si>
    <t>Lista</t>
  </si>
  <si>
    <t>Panel Hebel para Losa 12.5cm</t>
  </si>
</sst>
</file>

<file path=xl/styles.xml><?xml version="1.0" encoding="utf-8"?>
<styleSheet xmlns="http://schemas.openxmlformats.org/spreadsheetml/2006/main">
  <numFmts count="6">
    <numFmt numFmtId="5" formatCode="&quot;$&quot;#,##0;\-&quot;$&quot;#,##0"/>
    <numFmt numFmtId="164" formatCode="#,##0.00&quot; %&quot;"/>
    <numFmt numFmtId="165" formatCode="0.0000"/>
    <numFmt numFmtId="166" formatCode="#,##0.0000"/>
    <numFmt numFmtId="167" formatCode="dd/mmm/yyyy\ hh:mm\ AM/PM"/>
    <numFmt numFmtId="168" formatCode="&quot;$&quot;#,##0"/>
  </numFmts>
  <fonts count="43">
    <font>
      <sz val="11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26"/>
      <color rgb="FFFFFF00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rgb="FFFFC000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b/>
      <sz val="16"/>
      <color theme="0"/>
      <name val="Arial"/>
      <family val="2"/>
    </font>
    <font>
      <b/>
      <sz val="12"/>
      <color rgb="FF0000FF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vertAlign val="superscript"/>
      <sz val="10"/>
      <color rgb="FF0000FF"/>
      <name val="Arial"/>
      <family val="2"/>
    </font>
    <font>
      <sz val="12"/>
      <name val="Arial"/>
      <family val="2"/>
    </font>
    <font>
      <sz val="12"/>
      <color rgb="FFFFFF00"/>
      <name val="Arial"/>
      <family val="2"/>
    </font>
    <font>
      <b/>
      <sz val="22"/>
      <color theme="0"/>
      <name val="Arial"/>
      <family val="2"/>
    </font>
    <font>
      <b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5A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75923C"/>
        <bgColor indexed="64"/>
      </patternFill>
    </fill>
  </fills>
  <borders count="22">
    <border>
      <left/>
      <right/>
      <top/>
      <bottom/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5" fillId="0" borderId="0" xfId="0" applyFont="1"/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3" fontId="14" fillId="5" borderId="7" xfId="0" applyNumberFormat="1" applyFont="1" applyFill="1" applyBorder="1" applyAlignment="1" applyProtection="1">
      <alignment horizontal="right" vertical="center"/>
      <protection locked="0"/>
    </xf>
    <xf numFmtId="3" fontId="14" fillId="5" borderId="7" xfId="0" applyNumberFormat="1" applyFont="1" applyFill="1" applyBorder="1" applyAlignment="1" applyProtection="1">
      <alignment horizontal="right" vertical="center"/>
    </xf>
    <xf numFmtId="0" fontId="14" fillId="8" borderId="0" xfId="0" applyFont="1" applyFill="1" applyAlignment="1" applyProtection="1">
      <alignment horizontal="center" vertical="center"/>
    </xf>
    <xf numFmtId="0" fontId="18" fillId="6" borderId="0" xfId="0" applyFont="1" applyFill="1" applyAlignment="1" applyProtection="1">
      <alignment horizontal="right"/>
    </xf>
    <xf numFmtId="0" fontId="14" fillId="6" borderId="0" xfId="0" applyFont="1" applyFill="1" applyAlignment="1" applyProtection="1">
      <alignment horizontal="center"/>
    </xf>
    <xf numFmtId="0" fontId="18" fillId="6" borderId="0" xfId="0" applyFont="1" applyFill="1" applyAlignment="1" applyProtection="1">
      <alignment horizontal="right" vertical="center"/>
    </xf>
    <xf numFmtId="1" fontId="14" fillId="5" borderId="7" xfId="0" applyNumberFormat="1" applyFont="1" applyFill="1" applyBorder="1" applyAlignment="1" applyProtection="1">
      <alignment horizontal="right" vertical="center"/>
    </xf>
    <xf numFmtId="0" fontId="14" fillId="6" borderId="0" xfId="0" applyFont="1" applyFill="1" applyAlignment="1" applyProtection="1">
      <alignment horizontal="left" vertical="center"/>
    </xf>
    <xf numFmtId="0" fontId="21" fillId="8" borderId="0" xfId="0" applyFont="1" applyFill="1" applyAlignment="1" applyProtection="1">
      <alignment horizontal="right" vertical="center"/>
    </xf>
    <xf numFmtId="0" fontId="21" fillId="8" borderId="0" xfId="0" applyFont="1" applyFill="1" applyAlignment="1" applyProtection="1">
      <alignment horizontal="center" vertical="center"/>
    </xf>
    <xf numFmtId="4" fontId="14" fillId="6" borderId="0" xfId="0" applyNumberFormat="1" applyFont="1" applyFill="1" applyAlignment="1" applyProtection="1">
      <alignment horizontal="right" vertical="center"/>
    </xf>
    <xf numFmtId="0" fontId="14" fillId="4" borderId="0" xfId="0" applyFont="1" applyFill="1" applyAlignment="1" applyProtection="1">
      <alignment horizontal="center" vertical="center"/>
    </xf>
    <xf numFmtId="4" fontId="14" fillId="4" borderId="0" xfId="0" applyNumberFormat="1" applyFont="1" applyFill="1" applyAlignment="1" applyProtection="1">
      <alignment horizontal="right" vertical="center"/>
    </xf>
    <xf numFmtId="4" fontId="18" fillId="4" borderId="0" xfId="0" applyNumberFormat="1" applyFont="1" applyFill="1" applyAlignment="1" applyProtection="1">
      <alignment horizontal="right" vertical="center"/>
    </xf>
    <xf numFmtId="4" fontId="11" fillId="4" borderId="0" xfId="0" applyNumberFormat="1" applyFont="1" applyFill="1" applyAlignment="1" applyProtection="1">
      <alignment horizontal="right" vertical="center"/>
    </xf>
    <xf numFmtId="4" fontId="11" fillId="6" borderId="0" xfId="0" applyNumberFormat="1" applyFont="1" applyFill="1" applyAlignment="1" applyProtection="1">
      <alignment horizontal="right" vertical="center"/>
    </xf>
    <xf numFmtId="0" fontId="14" fillId="6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4" fillId="3" borderId="0" xfId="0" applyFont="1" applyFill="1" applyAlignment="1" applyProtection="1">
      <alignment horizontal="center" vertical="center"/>
    </xf>
    <xf numFmtId="0" fontId="20" fillId="7" borderId="0" xfId="0" applyFont="1" applyFill="1" applyAlignment="1" applyProtection="1">
      <alignment horizontal="center" vertical="center"/>
    </xf>
    <xf numFmtId="0" fontId="18" fillId="6" borderId="0" xfId="0" applyFont="1" applyFill="1" applyAlignment="1" applyProtection="1">
      <alignment horizontal="left" vertical="center"/>
    </xf>
    <xf numFmtId="0" fontId="12" fillId="6" borderId="0" xfId="0" applyFont="1" applyFill="1" applyAlignment="1" applyProtection="1">
      <alignment horizontal="right" vertical="center"/>
    </xf>
    <xf numFmtId="0" fontId="25" fillId="6" borderId="0" xfId="0" applyFont="1" applyFill="1" applyAlignment="1" applyProtection="1">
      <alignment horizontal="left" vertical="center"/>
    </xf>
    <xf numFmtId="0" fontId="23" fillId="6" borderId="0" xfId="0" applyFont="1" applyFill="1" applyAlignment="1" applyProtection="1">
      <alignment horizontal="right" vertical="center"/>
    </xf>
    <xf numFmtId="0" fontId="19" fillId="0" borderId="0" xfId="0" applyFont="1" applyProtection="1"/>
    <xf numFmtId="0" fontId="21" fillId="8" borderId="0" xfId="0" applyFont="1" applyFill="1" applyAlignment="1" applyProtection="1">
      <alignment horizontal="left" vertical="center"/>
    </xf>
    <xf numFmtId="0" fontId="14" fillId="8" borderId="0" xfId="0" applyFont="1" applyFill="1" applyAlignment="1" applyProtection="1">
      <alignment horizontal="left" vertical="center"/>
    </xf>
    <xf numFmtId="0" fontId="25" fillId="6" borderId="0" xfId="0" applyFont="1" applyFill="1" applyAlignment="1" applyProtection="1">
      <alignment horizontal="left"/>
    </xf>
    <xf numFmtId="0" fontId="18" fillId="6" borderId="0" xfId="0" applyFont="1" applyFill="1" applyAlignment="1" applyProtection="1">
      <alignment horizontal="left"/>
    </xf>
    <xf numFmtId="0" fontId="0" fillId="0" borderId="0" xfId="0" applyProtection="1"/>
    <xf numFmtId="0" fontId="14" fillId="6" borderId="0" xfId="0" applyFont="1" applyFill="1" applyAlignment="1" applyProtection="1">
      <alignment horizontal="left"/>
    </xf>
    <xf numFmtId="0" fontId="27" fillId="6" borderId="0" xfId="0" applyFont="1" applyFill="1" applyAlignment="1" applyProtection="1">
      <alignment horizontal="right" vertical="center"/>
    </xf>
    <xf numFmtId="0" fontId="14" fillId="5" borderId="7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0" fontId="14" fillId="4" borderId="0" xfId="0" applyFont="1" applyFill="1" applyAlignment="1" applyProtection="1">
      <alignment horizontal="left" vertical="center"/>
    </xf>
    <xf numFmtId="0" fontId="18" fillId="4" borderId="7" xfId="0" applyFont="1" applyFill="1" applyBorder="1" applyAlignment="1" applyProtection="1">
      <alignment horizontal="left" vertical="center"/>
    </xf>
    <xf numFmtId="0" fontId="18" fillId="9" borderId="7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left" vertical="center"/>
    </xf>
    <xf numFmtId="0" fontId="14" fillId="10" borderId="7" xfId="0" applyFont="1" applyFill="1" applyBorder="1" applyAlignment="1" applyProtection="1">
      <alignment horizontal="center" vertical="center"/>
    </xf>
    <xf numFmtId="3" fontId="14" fillId="10" borderId="7" xfId="0" applyNumberFormat="1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left" vertical="center"/>
    </xf>
    <xf numFmtId="0" fontId="14" fillId="9" borderId="7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left" vertical="center"/>
    </xf>
    <xf numFmtId="0" fontId="14" fillId="5" borderId="7" xfId="0" applyFont="1" applyFill="1" applyBorder="1" applyAlignment="1" applyProtection="1">
      <alignment horizontal="center" vertical="center"/>
      <protection locked="0"/>
    </xf>
    <xf numFmtId="5" fontId="14" fillId="5" borderId="7" xfId="0" applyNumberFormat="1" applyFont="1" applyFill="1" applyBorder="1" applyAlignment="1" applyProtection="1">
      <alignment horizontal="right" vertical="center"/>
      <protection locked="0"/>
    </xf>
    <xf numFmtId="5" fontId="14" fillId="5" borderId="7" xfId="0" applyNumberFormat="1" applyFont="1" applyFill="1" applyBorder="1" applyAlignment="1" applyProtection="1">
      <alignment horizontal="right" vertical="center"/>
    </xf>
    <xf numFmtId="5" fontId="14" fillId="6" borderId="0" xfId="0" applyNumberFormat="1" applyFont="1" applyFill="1" applyAlignment="1" applyProtection="1">
      <alignment horizontal="center" vertical="center"/>
    </xf>
    <xf numFmtId="5" fontId="14" fillId="4" borderId="0" xfId="0" applyNumberFormat="1" applyFont="1" applyFill="1" applyAlignment="1" applyProtection="1">
      <alignment horizontal="center" vertical="center"/>
    </xf>
    <xf numFmtId="5" fontId="12" fillId="4" borderId="0" xfId="0" applyNumberFormat="1" applyFont="1" applyFill="1" applyAlignment="1" applyProtection="1">
      <alignment horizontal="right" vertical="center"/>
    </xf>
    <xf numFmtId="5" fontId="14" fillId="4" borderId="0" xfId="0" applyNumberFormat="1" applyFont="1" applyFill="1" applyAlignment="1" applyProtection="1">
      <alignment horizontal="right" vertical="center"/>
    </xf>
    <xf numFmtId="5" fontId="14" fillId="4" borderId="0" xfId="0" applyNumberFormat="1" applyFont="1" applyFill="1" applyBorder="1" applyAlignment="1" applyProtection="1">
      <alignment horizontal="right" vertical="center"/>
    </xf>
    <xf numFmtId="5" fontId="14" fillId="4" borderId="0" xfId="0" applyNumberFormat="1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left" vertical="center"/>
    </xf>
    <xf numFmtId="4" fontId="32" fillId="6" borderId="0" xfId="0" applyNumberFormat="1" applyFont="1" applyFill="1" applyAlignment="1" applyProtection="1">
      <alignment horizontal="right"/>
    </xf>
    <xf numFmtId="4" fontId="32" fillId="6" borderId="0" xfId="0" applyNumberFormat="1" applyFont="1" applyFill="1" applyAlignment="1" applyProtection="1">
      <alignment horizontal="right" vertical="top"/>
    </xf>
    <xf numFmtId="0" fontId="7" fillId="5" borderId="7" xfId="0" applyFont="1" applyFill="1" applyBorder="1" applyAlignment="1" applyProtection="1">
      <alignment horizontal="left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/>
    </xf>
    <xf numFmtId="3" fontId="14" fillId="5" borderId="7" xfId="0" applyNumberFormat="1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left" vertical="center"/>
    </xf>
    <xf numFmtId="0" fontId="14" fillId="6" borderId="0" xfId="0" applyFont="1" applyFill="1" applyAlignment="1" applyProtection="1">
      <alignment vertical="center"/>
    </xf>
    <xf numFmtId="4" fontId="14" fillId="6" borderId="0" xfId="0" applyNumberFormat="1" applyFont="1" applyFill="1" applyAlignment="1" applyProtection="1">
      <alignment horizontal="right"/>
    </xf>
    <xf numFmtId="4" fontId="23" fillId="6" borderId="0" xfId="0" applyNumberFormat="1" applyFont="1" applyFill="1" applyAlignment="1" applyProtection="1">
      <alignment horizontal="right"/>
    </xf>
    <xf numFmtId="0" fontId="6" fillId="5" borderId="7" xfId="0" applyFont="1" applyFill="1" applyBorder="1" applyAlignment="1" applyProtection="1">
      <alignment horizontal="left" vertical="center" wrapText="1"/>
    </xf>
    <xf numFmtId="3" fontId="27" fillId="9" borderId="7" xfId="0" applyNumberFormat="1" applyFont="1" applyFill="1" applyBorder="1" applyAlignment="1" applyProtection="1">
      <alignment horizontal="center" vertical="center"/>
    </xf>
    <xf numFmtId="3" fontId="34" fillId="9" borderId="7" xfId="0" applyNumberFormat="1" applyFont="1" applyFill="1" applyBorder="1" applyAlignment="1" applyProtection="1">
      <alignment horizontal="center" vertical="center"/>
    </xf>
    <xf numFmtId="3" fontId="14" fillId="9" borderId="7" xfId="0" applyNumberFormat="1" applyFont="1" applyFill="1" applyBorder="1" applyAlignment="1" applyProtection="1">
      <alignment horizontal="center" vertical="center"/>
    </xf>
    <xf numFmtId="3" fontId="34" fillId="9" borderId="7" xfId="0" applyNumberFormat="1" applyFont="1" applyFill="1" applyBorder="1" applyAlignment="1" applyProtection="1">
      <alignment horizontal="center" vertical="center" wrapText="1"/>
    </xf>
    <xf numFmtId="3" fontId="18" fillId="9" borderId="7" xfId="0" applyNumberFormat="1" applyFont="1" applyFill="1" applyBorder="1" applyAlignment="1" applyProtection="1">
      <alignment horizontal="center" vertical="center"/>
    </xf>
    <xf numFmtId="3" fontId="14" fillId="10" borderId="7" xfId="0" applyNumberFormat="1" applyFont="1" applyFill="1" applyBorder="1" applyAlignment="1" applyProtection="1">
      <alignment horizontal="center" vertical="center"/>
      <protection locked="0"/>
    </xf>
    <xf numFmtId="3" fontId="37" fillId="9" borderId="7" xfId="0" applyNumberFormat="1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right" vertical="center"/>
    </xf>
    <xf numFmtId="3" fontId="39" fillId="10" borderId="7" xfId="0" applyNumberFormat="1" applyFont="1" applyFill="1" applyBorder="1" applyAlignment="1" applyProtection="1">
      <alignment horizontal="center" vertical="center"/>
    </xf>
    <xf numFmtId="0" fontId="41" fillId="12" borderId="0" xfId="0" applyFont="1" applyFill="1" applyAlignment="1" applyProtection="1">
      <alignment horizontal="left" vertical="center"/>
    </xf>
    <xf numFmtId="0" fontId="40" fillId="12" borderId="0" xfId="0" applyFont="1" applyFill="1" applyAlignment="1" applyProtection="1">
      <alignment horizontal="center" vertical="center"/>
    </xf>
    <xf numFmtId="3" fontId="39" fillId="5" borderId="7" xfId="0" applyNumberFormat="1" applyFont="1" applyFill="1" applyBorder="1" applyAlignment="1" applyProtection="1">
      <alignment horizontal="center" vertical="center"/>
    </xf>
    <xf numFmtId="0" fontId="39" fillId="10" borderId="7" xfId="0" applyFont="1" applyFill="1" applyBorder="1" applyAlignment="1" applyProtection="1">
      <alignment horizontal="center" vertical="center"/>
    </xf>
    <xf numFmtId="0" fontId="14" fillId="13" borderId="0" xfId="0" applyFont="1" applyFill="1" applyAlignment="1" applyProtection="1">
      <alignment horizontal="center" vertical="center"/>
    </xf>
    <xf numFmtId="0" fontId="14" fillId="13" borderId="0" xfId="0" applyFont="1" applyFill="1" applyAlignment="1" applyProtection="1">
      <alignment horizontal="left" vertical="center"/>
    </xf>
    <xf numFmtId="0" fontId="6" fillId="9" borderId="7" xfId="0" applyFont="1" applyFill="1" applyBorder="1" applyAlignment="1" applyProtection="1">
      <alignment horizontal="left" vertical="center"/>
    </xf>
    <xf numFmtId="0" fontId="14" fillId="5" borderId="8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right" vertical="center"/>
    </xf>
    <xf numFmtId="0" fontId="14" fillId="5" borderId="8" xfId="0" applyFont="1" applyFill="1" applyBorder="1" applyAlignment="1" applyProtection="1">
      <alignment vertical="center"/>
    </xf>
    <xf numFmtId="0" fontId="18" fillId="9" borderId="8" xfId="0" applyFont="1" applyFill="1" applyBorder="1" applyAlignment="1" applyProtection="1">
      <alignment horizontal="center" vertical="center"/>
    </xf>
    <xf numFmtId="0" fontId="14" fillId="10" borderId="8" xfId="0" applyFont="1" applyFill="1" applyBorder="1" applyAlignment="1" applyProtection="1">
      <alignment horizontal="center" vertical="center"/>
    </xf>
    <xf numFmtId="0" fontId="14" fillId="9" borderId="8" xfId="0" applyFont="1" applyFill="1" applyBorder="1" applyAlignment="1" applyProtection="1">
      <alignment horizontal="center" vertical="center"/>
    </xf>
    <xf numFmtId="166" fontId="18" fillId="5" borderId="8" xfId="0" applyNumberFormat="1" applyFont="1" applyFill="1" applyBorder="1" applyAlignment="1" applyProtection="1">
      <alignment horizontal="center" vertical="center"/>
    </xf>
    <xf numFmtId="166" fontId="14" fillId="5" borderId="8" xfId="0" applyNumberFormat="1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left" vertical="center"/>
    </xf>
    <xf numFmtId="165" fontId="14" fillId="5" borderId="7" xfId="0" applyNumberFormat="1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left" vertical="center"/>
    </xf>
    <xf numFmtId="0" fontId="32" fillId="5" borderId="13" xfId="0" applyFont="1" applyFill="1" applyBorder="1" applyAlignment="1" applyProtection="1">
      <alignment vertical="top"/>
    </xf>
    <xf numFmtId="0" fontId="32" fillId="5" borderId="18" xfId="0" applyFont="1" applyFill="1" applyBorder="1" applyAlignment="1" applyProtection="1">
      <alignment vertical="top"/>
    </xf>
    <xf numFmtId="0" fontId="32" fillId="5" borderId="14" xfId="0" applyFont="1" applyFill="1" applyBorder="1" applyAlignment="1" applyProtection="1">
      <alignment horizontal="right" vertical="top"/>
    </xf>
    <xf numFmtId="3" fontId="6" fillId="10" borderId="7" xfId="0" applyNumberFormat="1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left" vertical="center"/>
    </xf>
    <xf numFmtId="0" fontId="27" fillId="6" borderId="0" xfId="0" applyFont="1" applyFill="1" applyAlignment="1" applyProtection="1">
      <alignment horizontal="left"/>
    </xf>
    <xf numFmtId="3" fontId="6" fillId="10" borderId="7" xfId="0" applyNumberFormat="1" applyFont="1" applyFill="1" applyBorder="1" applyAlignment="1" applyProtection="1">
      <alignment horizontal="center" vertical="center"/>
    </xf>
    <xf numFmtId="168" fontId="9" fillId="5" borderId="7" xfId="0" applyNumberFormat="1" applyFont="1" applyFill="1" applyBorder="1" applyAlignment="1" applyProtection="1">
      <alignment vertical="center"/>
    </xf>
    <xf numFmtId="0" fontId="42" fillId="6" borderId="0" xfId="0" applyFont="1" applyFill="1" applyAlignment="1" applyProtection="1">
      <alignment horizontal="left"/>
    </xf>
    <xf numFmtId="0" fontId="32" fillId="6" borderId="0" xfId="0" applyFont="1" applyFill="1" applyAlignment="1" applyProtection="1">
      <alignment horizontal="left" vertical="top"/>
    </xf>
    <xf numFmtId="167" fontId="18" fillId="6" borderId="0" xfId="0" applyNumberFormat="1" applyFont="1" applyFill="1" applyAlignment="1" applyProtection="1">
      <alignment horizontal="left"/>
    </xf>
    <xf numFmtId="0" fontId="14" fillId="5" borderId="0" xfId="0" applyFont="1" applyFill="1" applyAlignment="1" applyProtection="1">
      <alignment horizontal="left" vertical="top"/>
    </xf>
    <xf numFmtId="0" fontId="14" fillId="5" borderId="9" xfId="0" applyFont="1" applyFill="1" applyBorder="1" applyAlignment="1" applyProtection="1">
      <alignment horizontal="left" vertical="center"/>
    </xf>
    <xf numFmtId="0" fontId="18" fillId="9" borderId="9" xfId="0" applyFont="1" applyFill="1" applyBorder="1" applyAlignment="1" applyProtection="1">
      <alignment horizontal="left" vertical="center"/>
    </xf>
    <xf numFmtId="5" fontId="14" fillId="6" borderId="0" xfId="0" applyNumberFormat="1" applyFont="1" applyFill="1" applyAlignment="1" applyProtection="1">
      <alignment horizontal="center" vertical="center"/>
    </xf>
    <xf numFmtId="0" fontId="21" fillId="11" borderId="17" xfId="0" applyFont="1" applyFill="1" applyBorder="1" applyAlignment="1" applyProtection="1">
      <alignment horizontal="center" vertical="center"/>
    </xf>
    <xf numFmtId="0" fontId="14" fillId="11" borderId="7" xfId="0" applyFont="1" applyFill="1" applyBorder="1" applyAlignment="1" applyProtection="1">
      <alignment horizontal="center" vertical="center"/>
    </xf>
    <xf numFmtId="0" fontId="18" fillId="5" borderId="7" xfId="0" applyFont="1" applyFill="1" applyBorder="1" applyAlignment="1" applyProtection="1">
      <alignment horizontal="center" vertical="center"/>
    </xf>
    <xf numFmtId="0" fontId="18" fillId="10" borderId="8" xfId="0" applyFont="1" applyFill="1" applyBorder="1" applyAlignment="1" applyProtection="1">
      <alignment horizontal="center" vertical="center"/>
    </xf>
    <xf numFmtId="0" fontId="31" fillId="4" borderId="7" xfId="0" applyFont="1" applyFill="1" applyBorder="1" applyAlignment="1" applyProtection="1">
      <alignment horizontal="center" vertical="center"/>
    </xf>
    <xf numFmtId="0" fontId="31" fillId="4" borderId="7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left" vertical="center"/>
    </xf>
    <xf numFmtId="168" fontId="14" fillId="5" borderId="7" xfId="0" applyNumberFormat="1" applyFont="1" applyFill="1" applyBorder="1" applyAlignment="1" applyProtection="1">
      <alignment horizontal="right" vertical="center"/>
    </xf>
    <xf numFmtId="165" fontId="6" fillId="5" borderId="8" xfId="0" applyNumberFormat="1" applyFont="1" applyFill="1" applyBorder="1" applyAlignment="1" applyProtection="1">
      <alignment horizontal="center" vertical="center"/>
    </xf>
    <xf numFmtId="165" fontId="6" fillId="5" borderId="10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left" vertical="top"/>
    </xf>
    <xf numFmtId="0" fontId="14" fillId="5" borderId="0" xfId="0" applyFont="1" applyFill="1" applyAlignment="1" applyProtection="1">
      <alignment horizontal="left" vertical="top"/>
    </xf>
    <xf numFmtId="0" fontId="18" fillId="5" borderId="8" xfId="0" applyFont="1" applyFill="1" applyBorder="1" applyAlignment="1" applyProtection="1">
      <alignment horizontal="center" vertical="center"/>
    </xf>
    <xf numFmtId="0" fontId="18" fillId="5" borderId="9" xfId="0" applyFont="1" applyFill="1" applyBorder="1" applyAlignment="1" applyProtection="1">
      <alignment horizontal="center" vertical="center"/>
    </xf>
    <xf numFmtId="0" fontId="18" fillId="5" borderId="10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left" vertical="center"/>
    </xf>
    <xf numFmtId="0" fontId="14" fillId="5" borderId="9" xfId="0" applyFont="1" applyFill="1" applyBorder="1" applyAlignment="1" applyProtection="1">
      <alignment horizontal="left" vertical="center"/>
    </xf>
    <xf numFmtId="0" fontId="18" fillId="9" borderId="8" xfId="0" applyFont="1" applyFill="1" applyBorder="1" applyAlignment="1" applyProtection="1">
      <alignment horizontal="left" vertical="center"/>
    </xf>
    <xf numFmtId="0" fontId="18" fillId="9" borderId="9" xfId="0" applyFont="1" applyFill="1" applyBorder="1" applyAlignment="1" applyProtection="1">
      <alignment horizontal="left" vertical="center"/>
    </xf>
    <xf numFmtId="165" fontId="14" fillId="5" borderId="8" xfId="0" applyNumberFormat="1" applyFont="1" applyFill="1" applyBorder="1" applyAlignment="1" applyProtection="1">
      <alignment horizontal="center" vertical="center"/>
    </xf>
    <xf numFmtId="165" fontId="14" fillId="5" borderId="10" xfId="0" applyNumberFormat="1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33" fillId="7" borderId="0" xfId="0" applyFont="1" applyFill="1" applyAlignment="1" applyProtection="1">
      <alignment horizontal="center" vertical="top"/>
    </xf>
    <xf numFmtId="5" fontId="14" fillId="5" borderId="8" xfId="0" applyNumberFormat="1" applyFont="1" applyFill="1" applyBorder="1" applyAlignment="1" applyProtection="1">
      <alignment horizontal="right" vertical="center"/>
    </xf>
    <xf numFmtId="5" fontId="14" fillId="5" borderId="10" xfId="0" applyNumberFormat="1" applyFont="1" applyFill="1" applyBorder="1" applyAlignment="1" applyProtection="1">
      <alignment horizontal="right" vertical="center"/>
    </xf>
    <xf numFmtId="0" fontId="14" fillId="5" borderId="8" xfId="0" applyFont="1" applyFill="1" applyBorder="1" applyAlignment="1" applyProtection="1">
      <alignment horizontal="left" vertical="center"/>
      <protection locked="0"/>
    </xf>
    <xf numFmtId="0" fontId="14" fillId="5" borderId="10" xfId="0" applyFont="1" applyFill="1" applyBorder="1" applyAlignment="1" applyProtection="1">
      <alignment horizontal="left" vertical="center"/>
      <protection locked="0"/>
    </xf>
    <xf numFmtId="0" fontId="12" fillId="5" borderId="7" xfId="0" applyFont="1" applyFill="1" applyBorder="1" applyAlignment="1" applyProtection="1">
      <alignment horizontal="left" vertical="center"/>
      <protection locked="0"/>
    </xf>
    <xf numFmtId="0" fontId="13" fillId="5" borderId="7" xfId="0" applyFont="1" applyFill="1" applyBorder="1" applyAlignment="1" applyProtection="1">
      <alignment horizontal="left" vertical="center"/>
      <protection locked="0"/>
    </xf>
    <xf numFmtId="0" fontId="18" fillId="6" borderId="0" xfId="0" applyFont="1" applyFill="1" applyAlignment="1" applyProtection="1">
      <alignment horizontal="center" vertical="center" wrapText="1"/>
    </xf>
    <xf numFmtId="5" fontId="14" fillId="4" borderId="8" xfId="0" applyNumberFormat="1" applyFont="1" applyFill="1" applyBorder="1" applyAlignment="1" applyProtection="1">
      <alignment horizontal="center" vertical="center"/>
    </xf>
    <xf numFmtId="5" fontId="14" fillId="4" borderId="10" xfId="0" applyNumberFormat="1" applyFont="1" applyFill="1" applyBorder="1" applyAlignment="1" applyProtection="1">
      <alignment horizontal="center" vertical="center"/>
    </xf>
    <xf numFmtId="3" fontId="14" fillId="5" borderId="11" xfId="0" applyNumberFormat="1" applyFont="1" applyFill="1" applyBorder="1" applyAlignment="1" applyProtection="1">
      <alignment horizontal="right" vertical="center"/>
    </xf>
    <xf numFmtId="3" fontId="14" fillId="5" borderId="12" xfId="0" applyNumberFormat="1" applyFont="1" applyFill="1" applyBorder="1" applyAlignment="1" applyProtection="1">
      <alignment horizontal="right" vertical="center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9" xfId="0" applyFont="1" applyFill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 applyProtection="1">
      <alignment horizontal="left" vertical="center"/>
      <protection locked="0"/>
    </xf>
    <xf numFmtId="5" fontId="30" fillId="4" borderId="0" xfId="0" applyNumberFormat="1" applyFont="1" applyFill="1" applyAlignment="1" applyProtection="1">
      <alignment horizontal="right" vertical="center"/>
    </xf>
    <xf numFmtId="5" fontId="28" fillId="4" borderId="0" xfId="0" applyNumberFormat="1" applyFont="1" applyFill="1" applyAlignment="1" applyProtection="1">
      <alignment horizontal="right" vertical="center"/>
    </xf>
    <xf numFmtId="5" fontId="11" fillId="6" borderId="0" xfId="0" applyNumberFormat="1" applyFont="1" applyFill="1" applyAlignment="1" applyProtection="1">
      <alignment horizontal="center" vertical="center"/>
    </xf>
    <xf numFmtId="5" fontId="14" fillId="6" borderId="0" xfId="0" applyNumberFormat="1" applyFont="1" applyFill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left" vertical="center"/>
      <protection locked="0"/>
    </xf>
    <xf numFmtId="0" fontId="14" fillId="5" borderId="10" xfId="0" applyFont="1" applyFill="1" applyBorder="1" applyAlignment="1" applyProtection="1">
      <alignment horizontal="left" vertical="center"/>
    </xf>
    <xf numFmtId="0" fontId="14" fillId="5" borderId="13" xfId="0" applyFont="1" applyFill="1" applyBorder="1" applyAlignment="1" applyProtection="1">
      <alignment horizontal="left" vertical="center"/>
      <protection locked="0"/>
    </xf>
    <xf numFmtId="0" fontId="14" fillId="5" borderId="14" xfId="0" applyFont="1" applyFill="1" applyBorder="1" applyAlignment="1" applyProtection="1">
      <alignment horizontal="left" vertical="center"/>
      <protection locked="0"/>
    </xf>
    <xf numFmtId="0" fontId="14" fillId="5" borderId="15" xfId="0" applyFont="1" applyFill="1" applyBorder="1" applyAlignment="1" applyProtection="1">
      <alignment horizontal="left" vertical="center"/>
      <protection locked="0"/>
    </xf>
    <xf numFmtId="0" fontId="14" fillId="5" borderId="16" xfId="0" applyFont="1" applyFill="1" applyBorder="1" applyAlignment="1" applyProtection="1">
      <alignment horizontal="left" vertical="center"/>
      <protection locked="0"/>
    </xf>
    <xf numFmtId="0" fontId="14" fillId="5" borderId="12" xfId="0" applyFont="1" applyFill="1" applyBorder="1" applyAlignment="1" applyProtection="1">
      <alignment horizontal="right" vertical="center"/>
    </xf>
    <xf numFmtId="5" fontId="14" fillId="5" borderId="11" xfId="0" applyNumberFormat="1" applyFont="1" applyFill="1" applyBorder="1" applyAlignment="1" applyProtection="1">
      <alignment horizontal="right" vertical="center"/>
    </xf>
    <xf numFmtId="5" fontId="14" fillId="5" borderId="12" xfId="0" applyNumberFormat="1" applyFont="1" applyFill="1" applyBorder="1" applyAlignment="1" applyProtection="1">
      <alignment horizontal="right" vertical="center"/>
    </xf>
    <xf numFmtId="5" fontId="26" fillId="5" borderId="8" xfId="0" applyNumberFormat="1" applyFont="1" applyFill="1" applyBorder="1" applyAlignment="1" applyProtection="1">
      <alignment horizontal="right" vertical="center"/>
    </xf>
    <xf numFmtId="5" fontId="26" fillId="5" borderId="10" xfId="0" applyNumberFormat="1" applyFont="1" applyFill="1" applyBorder="1" applyAlignment="1" applyProtection="1">
      <alignment horizontal="right" vertical="center"/>
    </xf>
    <xf numFmtId="0" fontId="20" fillId="7" borderId="0" xfId="0" applyFont="1" applyFill="1" applyAlignment="1" applyProtection="1">
      <alignment horizontal="center" vertical="center"/>
    </xf>
    <xf numFmtId="0" fontId="21" fillId="11" borderId="17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left" vertical="center"/>
    </xf>
    <xf numFmtId="5" fontId="29" fillId="5" borderId="8" xfId="0" applyNumberFormat="1" applyFont="1" applyFill="1" applyBorder="1" applyAlignment="1" applyProtection="1">
      <alignment horizontal="center" vertical="center"/>
    </xf>
    <xf numFmtId="5" fontId="29" fillId="5" borderId="9" xfId="0" applyNumberFormat="1" applyFont="1" applyFill="1" applyBorder="1" applyAlignment="1" applyProtection="1">
      <alignment horizontal="center" vertical="center"/>
    </xf>
    <xf numFmtId="5" fontId="29" fillId="5" borderId="10" xfId="0" applyNumberFormat="1" applyFont="1" applyFill="1" applyBorder="1" applyAlignment="1" applyProtection="1">
      <alignment horizontal="center" vertical="center"/>
    </xf>
    <xf numFmtId="164" fontId="26" fillId="5" borderId="8" xfId="0" applyNumberFormat="1" applyFont="1" applyFill="1" applyBorder="1" applyAlignment="1" applyProtection="1">
      <alignment horizontal="center" vertical="center"/>
    </xf>
    <xf numFmtId="164" fontId="26" fillId="5" borderId="9" xfId="0" applyNumberFormat="1" applyFont="1" applyFill="1" applyBorder="1" applyAlignment="1" applyProtection="1">
      <alignment horizontal="center" vertical="center"/>
    </xf>
    <xf numFmtId="164" fontId="26" fillId="5" borderId="10" xfId="0" applyNumberFormat="1" applyFont="1" applyFill="1" applyBorder="1" applyAlignment="1" applyProtection="1">
      <alignment horizontal="center" vertical="center"/>
    </xf>
    <xf numFmtId="4" fontId="18" fillId="4" borderId="18" xfId="0" applyNumberFormat="1" applyFont="1" applyFill="1" applyBorder="1" applyAlignment="1" applyProtection="1">
      <alignment horizontal="center" vertical="center"/>
    </xf>
    <xf numFmtId="4" fontId="31" fillId="5" borderId="8" xfId="0" applyNumberFormat="1" applyFont="1" applyFill="1" applyBorder="1" applyAlignment="1" applyProtection="1">
      <alignment horizontal="center" vertical="center"/>
    </xf>
    <xf numFmtId="4" fontId="31" fillId="5" borderId="10" xfId="0" applyNumberFormat="1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9" xfId="0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left" vertical="center"/>
    </xf>
    <xf numFmtId="3" fontId="18" fillId="9" borderId="8" xfId="0" applyNumberFormat="1" applyFont="1" applyFill="1" applyBorder="1" applyAlignment="1" applyProtection="1">
      <alignment horizontal="left" vertical="center"/>
    </xf>
    <xf numFmtId="3" fontId="18" fillId="9" borderId="9" xfId="0" applyNumberFormat="1" applyFont="1" applyFill="1" applyBorder="1" applyAlignment="1" applyProtection="1">
      <alignment horizontal="left" vertical="center"/>
    </xf>
    <xf numFmtId="3" fontId="18" fillId="9" borderId="10" xfId="0" applyNumberFormat="1" applyFont="1" applyFill="1" applyBorder="1" applyAlignment="1" applyProtection="1">
      <alignment horizontal="left" vertical="center"/>
    </xf>
    <xf numFmtId="3" fontId="14" fillId="5" borderId="11" xfId="0" applyNumberFormat="1" applyFont="1" applyFill="1" applyBorder="1" applyAlignment="1" applyProtection="1">
      <alignment horizontal="center" vertical="center"/>
    </xf>
    <xf numFmtId="3" fontId="14" fillId="5" borderId="21" xfId="0" applyNumberFormat="1" applyFont="1" applyFill="1" applyBorder="1" applyAlignment="1" applyProtection="1">
      <alignment horizontal="center" vertical="center"/>
    </xf>
    <xf numFmtId="3" fontId="14" fillId="5" borderId="12" xfId="0" applyNumberFormat="1" applyFont="1" applyFill="1" applyBorder="1" applyAlignment="1" applyProtection="1">
      <alignment horizontal="center" vertical="center"/>
    </xf>
    <xf numFmtId="3" fontId="6" fillId="5" borderId="13" xfId="0" applyNumberFormat="1" applyFont="1" applyFill="1" applyBorder="1" applyAlignment="1" applyProtection="1">
      <alignment horizontal="left" vertical="top"/>
    </xf>
    <xf numFmtId="3" fontId="14" fillId="5" borderId="18" xfId="0" applyNumberFormat="1" applyFont="1" applyFill="1" applyBorder="1" applyAlignment="1" applyProtection="1">
      <alignment horizontal="left" vertical="top"/>
    </xf>
    <xf numFmtId="3" fontId="14" fillId="5" borderId="14" xfId="0" applyNumberFormat="1" applyFont="1" applyFill="1" applyBorder="1" applyAlignment="1" applyProtection="1">
      <alignment horizontal="left" vertical="top"/>
    </xf>
    <xf numFmtId="3" fontId="14" fillId="5" borderId="13" xfId="0" applyNumberFormat="1" applyFont="1" applyFill="1" applyBorder="1" applyAlignment="1" applyProtection="1">
      <alignment horizontal="left" vertical="top"/>
    </xf>
    <xf numFmtId="3" fontId="14" fillId="5" borderId="19" xfId="0" applyNumberFormat="1" applyFont="1" applyFill="1" applyBorder="1" applyAlignment="1" applyProtection="1">
      <alignment horizontal="left" vertical="top"/>
    </xf>
    <xf numFmtId="3" fontId="14" fillId="5" borderId="0" xfId="0" applyNumberFormat="1" applyFont="1" applyFill="1" applyBorder="1" applyAlignment="1" applyProtection="1">
      <alignment horizontal="left" vertical="top"/>
    </xf>
    <xf numFmtId="3" fontId="14" fillId="5" borderId="20" xfId="0" applyNumberFormat="1" applyFont="1" applyFill="1" applyBorder="1" applyAlignment="1" applyProtection="1">
      <alignment horizontal="left" vertical="top"/>
    </xf>
    <xf numFmtId="3" fontId="3" fillId="5" borderId="8" xfId="0" applyNumberFormat="1" applyFont="1" applyFill="1" applyBorder="1" applyAlignment="1" applyProtection="1">
      <alignment horizontal="left" vertical="top" wrapText="1"/>
    </xf>
    <xf numFmtId="3" fontId="6" fillId="5" borderId="9" xfId="0" applyNumberFormat="1" applyFont="1" applyFill="1" applyBorder="1" applyAlignment="1" applyProtection="1">
      <alignment horizontal="left" vertical="top" wrapText="1"/>
    </xf>
    <xf numFmtId="3" fontId="6" fillId="5" borderId="10" xfId="0" applyNumberFormat="1" applyFont="1" applyFill="1" applyBorder="1" applyAlignment="1" applyProtection="1">
      <alignment horizontal="left" vertical="top" wrapText="1"/>
    </xf>
    <xf numFmtId="3" fontId="6" fillId="5" borderId="19" xfId="0" applyNumberFormat="1" applyFont="1" applyFill="1" applyBorder="1" applyAlignment="1" applyProtection="1">
      <alignment horizontal="left" vertical="top"/>
    </xf>
    <xf numFmtId="3" fontId="14" fillId="5" borderId="15" xfId="0" applyNumberFormat="1" applyFont="1" applyFill="1" applyBorder="1" applyAlignment="1" applyProtection="1">
      <alignment horizontal="left" vertical="top"/>
    </xf>
    <xf numFmtId="3" fontId="14" fillId="5" borderId="17" xfId="0" applyNumberFormat="1" applyFont="1" applyFill="1" applyBorder="1" applyAlignment="1" applyProtection="1">
      <alignment horizontal="left" vertical="top"/>
    </xf>
    <xf numFmtId="3" fontId="14" fillId="5" borderId="16" xfId="0" applyNumberFormat="1" applyFont="1" applyFill="1" applyBorder="1" applyAlignment="1" applyProtection="1">
      <alignment horizontal="left" vertical="top"/>
    </xf>
    <xf numFmtId="0" fontId="18" fillId="4" borderId="11" xfId="0" applyFont="1" applyFill="1" applyBorder="1" applyAlignment="1" applyProtection="1">
      <alignment horizontal="left" vertical="center"/>
    </xf>
    <xf numFmtId="0" fontId="18" fillId="4" borderId="12" xfId="0" applyFont="1" applyFill="1" applyBorder="1" applyAlignment="1" applyProtection="1">
      <alignment horizontal="left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18" fillId="9" borderId="8" xfId="0" applyNumberFormat="1" applyFont="1" applyFill="1" applyBorder="1" applyAlignment="1" applyProtection="1">
      <alignment horizontal="center" vertical="center"/>
    </xf>
    <xf numFmtId="3" fontId="18" fillId="9" borderId="9" xfId="0" applyNumberFormat="1" applyFont="1" applyFill="1" applyBorder="1" applyAlignment="1" applyProtection="1">
      <alignment horizontal="center" vertical="center"/>
    </xf>
    <xf numFmtId="3" fontId="18" fillId="9" borderId="10" xfId="0" applyNumberFormat="1" applyFont="1" applyFill="1" applyBorder="1" applyAlignment="1" applyProtection="1">
      <alignment horizontal="center" vertical="center"/>
    </xf>
    <xf numFmtId="3" fontId="9" fillId="5" borderId="18" xfId="0" applyNumberFormat="1" applyFont="1" applyFill="1" applyBorder="1" applyAlignment="1" applyProtection="1">
      <alignment horizontal="left" vertical="top"/>
    </xf>
    <xf numFmtId="3" fontId="9" fillId="5" borderId="14" xfId="0" applyNumberFormat="1" applyFont="1" applyFill="1" applyBorder="1" applyAlignment="1" applyProtection="1">
      <alignment horizontal="left" vertical="top"/>
    </xf>
    <xf numFmtId="3" fontId="9" fillId="5" borderId="19" xfId="0" applyNumberFormat="1" applyFont="1" applyFill="1" applyBorder="1" applyAlignment="1" applyProtection="1">
      <alignment horizontal="left" vertical="top"/>
    </xf>
    <xf numFmtId="3" fontId="9" fillId="5" borderId="0" xfId="0" applyNumberFormat="1" applyFont="1" applyFill="1" applyBorder="1" applyAlignment="1" applyProtection="1">
      <alignment horizontal="left" vertical="top"/>
    </xf>
    <xf numFmtId="3" fontId="9" fillId="5" borderId="20" xfId="0" applyNumberFormat="1" applyFont="1" applyFill="1" applyBorder="1" applyAlignment="1" applyProtection="1">
      <alignment horizontal="left" vertical="top"/>
    </xf>
    <xf numFmtId="3" fontId="9" fillId="5" borderId="15" xfId="0" applyNumberFormat="1" applyFont="1" applyFill="1" applyBorder="1" applyAlignment="1" applyProtection="1">
      <alignment horizontal="left" vertical="top"/>
    </xf>
    <xf numFmtId="3" fontId="9" fillId="5" borderId="17" xfId="0" applyNumberFormat="1" applyFont="1" applyFill="1" applyBorder="1" applyAlignment="1" applyProtection="1">
      <alignment horizontal="left" vertical="top"/>
    </xf>
    <xf numFmtId="3" fontId="9" fillId="5" borderId="16" xfId="0" applyNumberFormat="1" applyFont="1" applyFill="1" applyBorder="1" applyAlignment="1" applyProtection="1">
      <alignment horizontal="left" vertical="top"/>
    </xf>
    <xf numFmtId="3" fontId="4" fillId="5" borderId="13" xfId="0" applyNumberFormat="1" applyFont="1" applyFill="1" applyBorder="1" applyAlignment="1" applyProtection="1">
      <alignment horizontal="left" vertical="top" wrapText="1"/>
    </xf>
    <xf numFmtId="3" fontId="6" fillId="5" borderId="18" xfId="0" applyNumberFormat="1" applyFont="1" applyFill="1" applyBorder="1" applyAlignment="1" applyProtection="1">
      <alignment horizontal="left" vertical="top" wrapText="1"/>
    </xf>
    <xf numFmtId="3" fontId="6" fillId="5" borderId="14" xfId="0" applyNumberFormat="1" applyFont="1" applyFill="1" applyBorder="1" applyAlignment="1" applyProtection="1">
      <alignment horizontal="left" vertical="top" wrapText="1"/>
    </xf>
    <xf numFmtId="3" fontId="6" fillId="5" borderId="19" xfId="0" applyNumberFormat="1" applyFont="1" applyFill="1" applyBorder="1" applyAlignment="1" applyProtection="1">
      <alignment horizontal="left" vertical="top" wrapText="1"/>
    </xf>
    <xf numFmtId="3" fontId="6" fillId="5" borderId="0" xfId="0" applyNumberFormat="1" applyFont="1" applyFill="1" applyBorder="1" applyAlignment="1" applyProtection="1">
      <alignment horizontal="left" vertical="top" wrapText="1"/>
    </xf>
    <xf numFmtId="3" fontId="6" fillId="5" borderId="20" xfId="0" applyNumberFormat="1" applyFont="1" applyFill="1" applyBorder="1" applyAlignment="1" applyProtection="1">
      <alignment horizontal="left" vertical="top" wrapText="1"/>
    </xf>
    <xf numFmtId="3" fontId="6" fillId="5" borderId="15" xfId="0" applyNumberFormat="1" applyFont="1" applyFill="1" applyBorder="1" applyAlignment="1" applyProtection="1">
      <alignment horizontal="left" vertical="top" wrapText="1"/>
    </xf>
    <xf numFmtId="3" fontId="6" fillId="5" borderId="17" xfId="0" applyNumberFormat="1" applyFont="1" applyFill="1" applyBorder="1" applyAlignment="1" applyProtection="1">
      <alignment horizontal="left" vertical="top" wrapText="1"/>
    </xf>
    <xf numFmtId="3" fontId="6" fillId="5" borderId="16" xfId="0" applyNumberFormat="1" applyFont="1" applyFill="1" applyBorder="1" applyAlignment="1" applyProtection="1">
      <alignment horizontal="left" vertical="top" wrapText="1"/>
    </xf>
    <xf numFmtId="0" fontId="1" fillId="5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</dxfs>
  <tableStyles count="0" defaultTableStyle="TableStyleMedium9" defaultPivotStyle="PivotStyleLight16"/>
  <colors>
    <mruColors>
      <color rgb="FFFF5A00"/>
      <color rgb="FF1C1C1C"/>
      <color rgb="FF333333"/>
      <color rgb="FFFFCC00"/>
      <color rgb="FF66FF33"/>
      <color rgb="FF003300"/>
      <color rgb="FF800000"/>
      <color rgb="FF0000CC"/>
      <color rgb="FF75923C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ist" dx="16" fmlaLink="$AF$84" fmlaRange="$AD$84:$AD$89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804863</xdr:colOff>
      <xdr:row>0</xdr:row>
      <xdr:rowOff>65088</xdr:rowOff>
    </xdr:from>
    <xdr:to>
      <xdr:col>6</xdr:col>
      <xdr:colOff>817563</xdr:colOff>
      <xdr:row>4</xdr:row>
      <xdr:rowOff>50728</xdr:rowOff>
    </xdr:to>
    <xdr:pic>
      <xdr:nvPicPr>
        <xdr:cNvPr id="2" name="1 Imagen" descr="logo heb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6" y="65088"/>
          <a:ext cx="854075" cy="858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304799</xdr:colOff>
      <xdr:row>0</xdr:row>
      <xdr:rowOff>95249</xdr:rowOff>
    </xdr:from>
    <xdr:to>
      <xdr:col>19</xdr:col>
      <xdr:colOff>0</xdr:colOff>
      <xdr:row>7</xdr:row>
      <xdr:rowOff>114300</xdr:rowOff>
    </xdr:to>
    <xdr:pic>
      <xdr:nvPicPr>
        <xdr:cNvPr id="1025" name="il_fi" descr="http://obraspublicas.edomex.gob.mx/oficial/Images/main/construccio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4" y="95249"/>
          <a:ext cx="2019301" cy="2019301"/>
        </a:xfrm>
        <a:prstGeom prst="rect">
          <a:avLst/>
        </a:prstGeom>
        <a:noFill/>
        <a:ln>
          <a:solidFill>
            <a:schemeClr val="bg2">
              <a:lumMod val="50000"/>
            </a:schemeClr>
          </a:solidFill>
        </a:ln>
      </xdr:spPr>
    </xdr:pic>
    <xdr:clientData/>
  </xdr:twoCellAnchor>
  <xdr:twoCellAnchor editAs="oneCell">
    <xdr:from>
      <xdr:col>8</xdr:col>
      <xdr:colOff>9526</xdr:colOff>
      <xdr:row>6</xdr:row>
      <xdr:rowOff>48458</xdr:rowOff>
    </xdr:from>
    <xdr:to>
      <xdr:col>8</xdr:col>
      <xdr:colOff>1000126</xdr:colOff>
      <xdr:row>10</xdr:row>
      <xdr:rowOff>86558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86476" y="1791533"/>
          <a:ext cx="990600" cy="990600"/>
        </a:xfrm>
        <a:prstGeom prst="rect">
          <a:avLst/>
        </a:prstGeom>
      </xdr:spPr>
    </xdr:pic>
    <xdr:clientData/>
  </xdr:twoCellAnchor>
  <xdr:twoCellAnchor>
    <xdr:from>
      <xdr:col>11</xdr:col>
      <xdr:colOff>390526</xdr:colOff>
      <xdr:row>58</xdr:row>
      <xdr:rowOff>19050</xdr:rowOff>
    </xdr:from>
    <xdr:to>
      <xdr:col>18</xdr:col>
      <xdr:colOff>95251</xdr:colOff>
      <xdr:row>60</xdr:row>
      <xdr:rowOff>209550</xdr:rowOff>
    </xdr:to>
    <xdr:sp macro="" textlink="">
      <xdr:nvSpPr>
        <xdr:cNvPr id="4" name="3 CuadroTexto"/>
        <xdr:cNvSpPr txBox="1"/>
      </xdr:nvSpPr>
      <xdr:spPr>
        <a:xfrm>
          <a:off x="7515226" y="12858750"/>
          <a:ext cx="3714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s-MX" sz="1200" b="1">
              <a:latin typeface="Arial" pitchFamily="34" charset="0"/>
              <a:cs typeface="Arial" pitchFamily="34" charset="0"/>
            </a:rPr>
            <a:t>Meses de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Ahorro de Energía por </a:t>
          </a:r>
        </a:p>
        <a:p>
          <a:pPr algn="r"/>
          <a:r>
            <a:rPr lang="es-MX" sz="1200" b="1" baseline="0">
              <a:latin typeface="Arial" pitchFamily="34" charset="0"/>
              <a:cs typeface="Arial" pitchFamily="34" charset="0"/>
            </a:rPr>
            <a:t>Climatización </a:t>
          </a:r>
          <a:r>
            <a:rPr lang="es-MX" sz="1200" b="1">
              <a:latin typeface="Arial" pitchFamily="34" charset="0"/>
              <a:cs typeface="Arial" pitchFamily="34" charset="0"/>
            </a:rPr>
            <a:t>para recuperar la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Diferencia de Costo de Inversión (Hebel vs. Tradicional):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123825</xdr:colOff>
      <xdr:row>36</xdr:row>
      <xdr:rowOff>161925</xdr:rowOff>
    </xdr:from>
    <xdr:to>
      <xdr:col>18</xdr:col>
      <xdr:colOff>28575</xdr:colOff>
      <xdr:row>38</xdr:row>
      <xdr:rowOff>152400</xdr:rowOff>
    </xdr:to>
    <xdr:sp macro="" textlink="">
      <xdr:nvSpPr>
        <xdr:cNvPr id="5" name="4 Rectángulo"/>
        <xdr:cNvSpPr/>
      </xdr:nvSpPr>
      <xdr:spPr>
        <a:xfrm>
          <a:off x="9772650" y="8648700"/>
          <a:ext cx="1733550" cy="44767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0</xdr:row>
      <xdr:rowOff>57150</xdr:rowOff>
    </xdr:from>
    <xdr:to>
      <xdr:col>7</xdr:col>
      <xdr:colOff>857250</xdr:colOff>
      <xdr:row>4</xdr:row>
      <xdr:rowOff>171451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39175" y="57150"/>
          <a:ext cx="1409700" cy="9239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0</xdr:row>
      <xdr:rowOff>57150</xdr:rowOff>
    </xdr:from>
    <xdr:to>
      <xdr:col>7</xdr:col>
      <xdr:colOff>857250</xdr:colOff>
      <xdr:row>4</xdr:row>
      <xdr:rowOff>171451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39175" y="57150"/>
          <a:ext cx="1409700" cy="923926"/>
        </a:xfrm>
        <a:prstGeom prst="rect">
          <a:avLst/>
        </a:prstGeom>
      </xdr:spPr>
    </xdr:pic>
    <xdr:clientData/>
  </xdr:twoCellAnchor>
  <xdr:twoCellAnchor>
    <xdr:from>
      <xdr:col>2</xdr:col>
      <xdr:colOff>971549</xdr:colOff>
      <xdr:row>22</xdr:row>
      <xdr:rowOff>171449</xdr:rowOff>
    </xdr:from>
    <xdr:to>
      <xdr:col>6</xdr:col>
      <xdr:colOff>895349</xdr:colOff>
      <xdr:row>25</xdr:row>
      <xdr:rowOff>219074</xdr:rowOff>
    </xdr:to>
    <xdr:sp macro="" textlink="">
      <xdr:nvSpPr>
        <xdr:cNvPr id="3" name="2 CuadroTexto"/>
        <xdr:cNvSpPr txBox="1"/>
      </xdr:nvSpPr>
      <xdr:spPr>
        <a:xfrm rot="19386728">
          <a:off x="4591049" y="6619874"/>
          <a:ext cx="43815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2000" b="1">
              <a:solidFill>
                <a:srgbClr val="FF5A00"/>
              </a:solidFill>
              <a:latin typeface="Arial Black" pitchFamily="34" charset="0"/>
              <a:cs typeface="Arial" pitchFamily="34" charset="0"/>
            </a:rPr>
            <a:t>Información</a:t>
          </a:r>
          <a:r>
            <a:rPr lang="es-MX" sz="2000" b="1" baseline="0">
              <a:solidFill>
                <a:srgbClr val="FF5A00"/>
              </a:solidFill>
              <a:latin typeface="Arial Black" pitchFamily="34" charset="0"/>
              <a:cs typeface="Arial" pitchFamily="34" charset="0"/>
            </a:rPr>
            <a:t> Base Original</a:t>
          </a:r>
        </a:p>
        <a:p>
          <a:pPr algn="ctr"/>
          <a:r>
            <a:rPr lang="es-MX" sz="2000" baseline="0">
              <a:solidFill>
                <a:srgbClr val="FF5A00"/>
              </a:solidFill>
              <a:latin typeface="Arial" pitchFamily="34" charset="0"/>
              <a:cs typeface="Arial" pitchFamily="34" charset="0"/>
            </a:rPr>
            <a:t>Monterrey, Nuevo Léon</a:t>
          </a:r>
        </a:p>
        <a:p>
          <a:endParaRPr lang="es-MX" sz="2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.xml"/><Relationship Id="rId4" Type="http://schemas.openxmlformats.org/officeDocument/2006/relationships/image" Target="../media/image2.jpe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zoomScale="120" zoomScaleNormal="120" zoomScaleSheetLayoutView="100" workbookViewId="0">
      <selection activeCell="K24" sqref="K24"/>
    </sheetView>
  </sheetViews>
  <sheetFormatPr baseColWidth="10" defaultRowHeight="16.5"/>
  <cols>
    <col min="1" max="1" width="6.375" style="1" customWidth="1"/>
    <col min="2" max="2" width="18.25" style="1" customWidth="1"/>
    <col min="3" max="3" width="11" style="1"/>
    <col min="4" max="4" width="5.25" style="1" customWidth="1"/>
    <col min="5" max="7" width="11" style="1"/>
    <col min="8" max="8" width="11.625" style="1" customWidth="1"/>
    <col min="9" max="16384" width="11" style="1"/>
  </cols>
  <sheetData>
    <row r="1" spans="2:8" ht="18.75">
      <c r="B1" s="8" t="s">
        <v>10</v>
      </c>
    </row>
    <row r="2" spans="2:8">
      <c r="B2" s="7" t="s">
        <v>11</v>
      </c>
    </row>
    <row r="3" spans="2:8">
      <c r="B3" s="7" t="s">
        <v>12</v>
      </c>
    </row>
    <row r="4" spans="2:8" ht="17.25" thickBot="1"/>
    <row r="5" spans="2:8">
      <c r="B5" s="9" t="s">
        <v>15</v>
      </c>
      <c r="C5" s="10">
        <v>300</v>
      </c>
      <c r="D5" s="11" t="s">
        <v>8</v>
      </c>
    </row>
    <row r="6" spans="2:8" ht="17.25" thickBot="1">
      <c r="B6" s="12" t="s">
        <v>16</v>
      </c>
      <c r="C6" s="13">
        <v>250</v>
      </c>
      <c r="D6" s="14" t="s">
        <v>8</v>
      </c>
    </row>
    <row r="10" spans="2:8">
      <c r="B10" s="3"/>
      <c r="C10" s="3"/>
      <c r="D10" s="3"/>
      <c r="E10" s="2"/>
      <c r="F10" s="3" t="s">
        <v>13</v>
      </c>
      <c r="G10" s="3"/>
      <c r="H10" s="3" t="s">
        <v>14</v>
      </c>
    </row>
    <row r="11" spans="2:8" s="5" customFormat="1">
      <c r="B11" s="4"/>
      <c r="C11" s="4"/>
      <c r="D11" s="4"/>
      <c r="F11" s="4"/>
      <c r="G11" s="4"/>
      <c r="H11" s="4"/>
    </row>
    <row r="12" spans="2:8">
      <c r="B12" s="1" t="s">
        <v>1</v>
      </c>
      <c r="C12" s="1" t="s">
        <v>0</v>
      </c>
    </row>
    <row r="15" spans="2:8">
      <c r="B15" s="1" t="s">
        <v>9</v>
      </c>
      <c r="C15" s="1" t="s">
        <v>3</v>
      </c>
    </row>
    <row r="18" spans="2:7">
      <c r="B18" s="1" t="s">
        <v>2</v>
      </c>
      <c r="C18" s="1" t="s">
        <v>4</v>
      </c>
    </row>
    <row r="21" spans="2:7">
      <c r="B21" s="1" t="s">
        <v>18</v>
      </c>
      <c r="C21" s="1" t="s">
        <v>5</v>
      </c>
    </row>
    <row r="24" spans="2:7">
      <c r="E24" s="6" t="s">
        <v>7</v>
      </c>
      <c r="G24" s="6" t="s">
        <v>7</v>
      </c>
    </row>
    <row r="25" spans="2:7">
      <c r="E25" s="6" t="s">
        <v>17</v>
      </c>
      <c r="G25" s="6" t="s">
        <v>17</v>
      </c>
    </row>
    <row r="29" spans="2:7">
      <c r="B29" s="1" t="str">
        <f>B21</f>
        <v>Refrigeración Variable</v>
      </c>
      <c r="C29" s="1" t="s">
        <v>6</v>
      </c>
    </row>
  </sheetData>
  <dataConsolidate/>
  <dataValidations count="3">
    <dataValidation type="list" allowBlank="1" showInputMessage="1" showErrorMessage="1" sqref="B12 B18">
      <formula1>"Regular, Residencial, Premium, Otro"</formula1>
    </dataValidation>
    <dataValidation type="list" allowBlank="1" showInputMessage="1" showErrorMessage="1" sqref="B21">
      <formula1>"Minisplit, Central, Refrigeración Variable, Agua Helada"</formula1>
    </dataValidation>
    <dataValidation type="list" allowBlank="1" showInputMessage="1" showErrorMessage="1" sqref="B15">
      <formula1>"Terreno Regular, Terreno Irregular"</formula1>
    </dataValidation>
  </dataValidations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5A00"/>
    <pageSetUpPr fitToPage="1"/>
  </sheetPr>
  <dimension ref="A1:AX231"/>
  <sheetViews>
    <sheetView showGridLines="0" showRowColHeaders="0" tabSelected="1" topLeftCell="B1" zoomScale="80" zoomScaleNormal="80" workbookViewId="0">
      <selection activeCell="D40" sqref="D40:E40"/>
    </sheetView>
  </sheetViews>
  <sheetFormatPr baseColWidth="10" defaultRowHeight="15"/>
  <cols>
    <col min="1" max="2" width="5.375" style="32" customWidth="1"/>
    <col min="3" max="3" width="6.875" style="32" customWidth="1"/>
    <col min="4" max="4" width="23.875" style="33" customWidth="1"/>
    <col min="5" max="5" width="18.375" style="33" customWidth="1"/>
    <col min="6" max="6" width="2.875" style="32" customWidth="1"/>
    <col min="7" max="7" width="13.375" style="32" customWidth="1"/>
    <col min="8" max="8" width="2.875" style="32" customWidth="1"/>
    <col min="9" max="9" width="13.375" style="32" customWidth="1"/>
    <col min="10" max="10" width="3.5" style="32" customWidth="1"/>
    <col min="11" max="11" width="2.375" style="32" customWidth="1"/>
    <col min="12" max="12" width="11.625" style="32" customWidth="1"/>
    <col min="13" max="13" width="10.25" style="32" customWidth="1"/>
    <col min="14" max="14" width="2.5" style="32" customWidth="1"/>
    <col min="15" max="15" width="4" style="32" customWidth="1"/>
    <col min="16" max="16" width="2.375" style="32" customWidth="1"/>
    <col min="17" max="17" width="11.375" style="32" customWidth="1"/>
    <col min="18" max="18" width="10.25" style="32" customWidth="1"/>
    <col min="19" max="19" width="2.5" style="32" customWidth="1"/>
    <col min="20" max="20" width="8.375" style="32" customWidth="1"/>
    <col min="21" max="21" width="2" style="34" customWidth="1"/>
    <col min="22" max="22" width="10.75" style="32" customWidth="1"/>
    <col min="23" max="23" width="59.5" style="32" customWidth="1"/>
    <col min="24" max="30" width="12.625" style="32" customWidth="1"/>
    <col min="31" max="31" width="9" style="32" customWidth="1"/>
    <col min="32" max="32" width="10" style="32" customWidth="1"/>
    <col min="33" max="16384" width="11" style="32"/>
  </cols>
  <sheetData>
    <row r="1" spans="3:20" ht="30" customHeight="1"/>
    <row r="2" spans="3:20" ht="9.75" customHeight="1">
      <c r="C2" s="97"/>
      <c r="D2" s="98"/>
      <c r="E2" s="98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3:20" ht="27.75" customHeight="1">
      <c r="C3" s="182" t="s">
        <v>82</v>
      </c>
      <c r="D3" s="182"/>
      <c r="E3" s="182"/>
      <c r="F3" s="182"/>
      <c r="G3" s="182"/>
      <c r="H3" s="182"/>
      <c r="I3" s="182"/>
      <c r="J3" s="182"/>
      <c r="K3" s="182"/>
      <c r="L3" s="182"/>
      <c r="M3" s="35"/>
      <c r="N3" s="35"/>
      <c r="O3" s="35"/>
      <c r="P3" s="35"/>
      <c r="Q3" s="35"/>
      <c r="R3" s="35"/>
      <c r="S3" s="35"/>
      <c r="T3" s="35"/>
    </row>
    <row r="4" spans="3:20" ht="31.5" customHeight="1">
      <c r="C4" s="152" t="s">
        <v>96</v>
      </c>
      <c r="D4" s="152"/>
      <c r="E4" s="152"/>
      <c r="F4" s="152"/>
      <c r="G4" s="152"/>
      <c r="H4" s="152"/>
      <c r="I4" s="152"/>
      <c r="J4" s="152"/>
      <c r="K4" s="152"/>
      <c r="L4" s="152"/>
      <c r="M4" s="35"/>
      <c r="N4" s="35"/>
      <c r="O4" s="35"/>
      <c r="P4" s="35"/>
      <c r="Q4" s="35"/>
      <c r="R4" s="35"/>
      <c r="S4" s="35"/>
      <c r="T4" s="35"/>
    </row>
    <row r="5" spans="3:20" ht="20.100000000000001" customHeight="1"/>
    <row r="6" spans="3:20" ht="20.100000000000001" customHeight="1">
      <c r="C6" s="31"/>
      <c r="D6" s="122"/>
      <c r="E6" s="36"/>
      <c r="F6" s="31"/>
      <c r="G6" s="37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3:20" ht="20.100000000000001" customHeight="1">
      <c r="C7" s="31"/>
      <c r="D7" s="124">
        <f ca="1">+NOW()</f>
        <v>41568.27620763889</v>
      </c>
      <c r="E7" s="36"/>
      <c r="F7" s="31"/>
      <c r="G7" s="20" t="s">
        <v>33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3:20" ht="20.100000000000001" customHeight="1">
      <c r="C8" s="31"/>
      <c r="D8" s="123" t="s">
        <v>162</v>
      </c>
      <c r="E8" s="20" t="s">
        <v>30</v>
      </c>
      <c r="F8" s="31"/>
      <c r="G8" s="15">
        <v>187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3:20" ht="18" customHeight="1">
      <c r="C9" s="31"/>
      <c r="D9" s="36"/>
      <c r="E9" s="20" t="s">
        <v>32</v>
      </c>
      <c r="F9" s="31"/>
      <c r="G9" s="15">
        <v>136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3:20" ht="18" customHeight="1">
      <c r="C10" s="31"/>
      <c r="D10" s="36"/>
      <c r="E10" s="20" t="s">
        <v>112</v>
      </c>
      <c r="F10" s="31"/>
      <c r="G10" s="15">
        <v>136</v>
      </c>
      <c r="H10" s="31"/>
      <c r="I10" s="31"/>
      <c r="J10" s="31"/>
      <c r="K10" s="159" t="s">
        <v>36</v>
      </c>
      <c r="L10" s="159"/>
      <c r="M10" s="159"/>
      <c r="N10" s="159"/>
      <c r="O10" s="31"/>
      <c r="P10" s="159" t="s">
        <v>37</v>
      </c>
      <c r="Q10" s="159"/>
      <c r="R10" s="159"/>
      <c r="S10" s="159"/>
      <c r="T10" s="31"/>
    </row>
    <row r="11" spans="3:20" ht="18" customHeight="1">
      <c r="C11" s="31"/>
      <c r="D11" s="36"/>
      <c r="E11" s="36"/>
      <c r="F11" s="31"/>
      <c r="G11" s="20"/>
      <c r="H11" s="31"/>
      <c r="I11" s="20"/>
      <c r="J11" s="20"/>
      <c r="K11" s="159"/>
      <c r="L11" s="159"/>
      <c r="M11" s="159"/>
      <c r="N11" s="159"/>
      <c r="O11" s="31"/>
      <c r="P11" s="159"/>
      <c r="Q11" s="159"/>
      <c r="R11" s="159"/>
      <c r="S11" s="159"/>
      <c r="T11" s="31"/>
    </row>
    <row r="12" spans="3:20" ht="18" customHeight="1">
      <c r="C12" s="31"/>
      <c r="D12" s="38" t="s">
        <v>26</v>
      </c>
      <c r="E12" s="36"/>
      <c r="F12" s="31"/>
      <c r="G12" s="20" t="s">
        <v>30</v>
      </c>
      <c r="H12" s="31"/>
      <c r="I12" s="20" t="s">
        <v>31</v>
      </c>
      <c r="J12" s="20"/>
      <c r="K12" s="66"/>
      <c r="L12" s="66"/>
      <c r="M12" s="66"/>
      <c r="N12" s="66"/>
      <c r="O12" s="65"/>
      <c r="P12" s="66"/>
      <c r="Q12" s="66"/>
      <c r="R12" s="66"/>
      <c r="S12" s="66"/>
      <c r="T12" s="31"/>
    </row>
    <row r="13" spans="3:20" ht="18" customHeight="1">
      <c r="C13" s="31"/>
      <c r="D13" s="155" t="s">
        <v>20</v>
      </c>
      <c r="E13" s="156"/>
      <c r="F13" s="31"/>
      <c r="G13" s="21">
        <f>+G8</f>
        <v>187</v>
      </c>
      <c r="H13" s="31"/>
      <c r="I13" s="136">
        <f>+AF85</f>
        <v>4500</v>
      </c>
      <c r="J13" s="31"/>
      <c r="K13" s="66"/>
      <c r="L13" s="153">
        <f>IF(D13="Otro Tipo",G13*E14,IF(D13="Sin Inversión en Terreno",0,G13*AF85))</f>
        <v>841500</v>
      </c>
      <c r="M13" s="154"/>
      <c r="N13" s="66"/>
      <c r="O13" s="65"/>
      <c r="P13" s="66"/>
      <c r="Q13" s="153">
        <f>+L13</f>
        <v>841500</v>
      </c>
      <c r="R13" s="154"/>
      <c r="S13" s="66"/>
      <c r="T13" s="31"/>
    </row>
    <row r="14" spans="3:20" ht="18" customHeight="1">
      <c r="C14" s="31"/>
      <c r="D14" s="39" t="s">
        <v>34</v>
      </c>
      <c r="E14" s="63">
        <v>0</v>
      </c>
      <c r="F14" s="31"/>
      <c r="G14" s="20"/>
      <c r="H14" s="31"/>
      <c r="I14" s="31"/>
      <c r="J14" s="31"/>
      <c r="K14" s="66"/>
      <c r="L14" s="67"/>
      <c r="M14" s="68"/>
      <c r="N14" s="68"/>
      <c r="O14" s="65"/>
      <c r="P14" s="66"/>
      <c r="Q14" s="67"/>
      <c r="R14" s="68"/>
      <c r="S14" s="68"/>
      <c r="T14" s="31"/>
    </row>
    <row r="15" spans="3:20" ht="18" customHeight="1">
      <c r="C15" s="31"/>
      <c r="D15" s="39"/>
      <c r="E15" s="20"/>
      <c r="F15" s="31"/>
      <c r="G15" s="20"/>
      <c r="H15" s="31"/>
      <c r="I15" s="31"/>
      <c r="J15" s="31"/>
      <c r="K15" s="66"/>
      <c r="L15" s="67"/>
      <c r="M15" s="68"/>
      <c r="N15" s="68"/>
      <c r="O15" s="128"/>
      <c r="P15" s="66"/>
      <c r="Q15" s="67"/>
      <c r="R15" s="68"/>
      <c r="S15" s="68"/>
      <c r="T15" s="31"/>
    </row>
    <row r="16" spans="3:20" ht="18" customHeight="1">
      <c r="C16" s="31"/>
      <c r="D16" s="39"/>
      <c r="E16" s="20"/>
      <c r="F16" s="31"/>
      <c r="G16" s="20"/>
      <c r="H16" s="31"/>
      <c r="I16" s="31"/>
      <c r="J16" s="31"/>
      <c r="K16" s="66"/>
      <c r="L16" s="67"/>
      <c r="M16" s="68"/>
      <c r="N16" s="68"/>
      <c r="O16" s="128"/>
      <c r="P16" s="66"/>
      <c r="Q16" s="67"/>
      <c r="R16" s="68"/>
      <c r="S16" s="68"/>
      <c r="T16" s="31"/>
    </row>
    <row r="17" spans="2:23" ht="7.5" customHeight="1">
      <c r="C17" s="31"/>
      <c r="D17" s="37"/>
      <c r="E17" s="20"/>
      <c r="F17" s="31"/>
      <c r="G17" s="20"/>
      <c r="H17" s="31"/>
      <c r="I17" s="31"/>
      <c r="J17" s="31"/>
      <c r="K17" s="66"/>
      <c r="L17" s="67"/>
      <c r="M17" s="68"/>
      <c r="N17" s="68"/>
      <c r="O17" s="65"/>
      <c r="P17" s="66"/>
      <c r="Q17" s="67"/>
      <c r="R17" s="68"/>
      <c r="S17" s="68"/>
      <c r="T17" s="31"/>
    </row>
    <row r="18" spans="2:23" ht="18" customHeight="1">
      <c r="C18" s="31"/>
      <c r="D18" s="38" t="s">
        <v>47</v>
      </c>
      <c r="E18" s="36"/>
      <c r="F18" s="31"/>
      <c r="G18" s="20" t="s">
        <v>32</v>
      </c>
      <c r="H18" s="31"/>
      <c r="I18" s="20" t="s">
        <v>31</v>
      </c>
      <c r="J18" s="31"/>
      <c r="K18" s="66"/>
      <c r="L18" s="69"/>
      <c r="M18" s="69"/>
      <c r="N18" s="68"/>
      <c r="O18" s="65"/>
      <c r="P18" s="66"/>
      <c r="Q18" s="69"/>
      <c r="R18" s="69"/>
      <c r="S18" s="68"/>
      <c r="T18" s="31"/>
    </row>
    <row r="19" spans="2:23" ht="18" customHeight="1">
      <c r="C19" s="31"/>
      <c r="D19" s="155" t="s">
        <v>83</v>
      </c>
      <c r="E19" s="156"/>
      <c r="F19" s="31"/>
      <c r="G19" s="21">
        <f>+G9</f>
        <v>136</v>
      </c>
      <c r="H19" s="31"/>
      <c r="I19" s="64">
        <f>+X90</f>
        <v>400</v>
      </c>
      <c r="J19" s="31"/>
      <c r="K19" s="66"/>
      <c r="L19" s="153">
        <f>+G19*I19</f>
        <v>54400</v>
      </c>
      <c r="M19" s="154"/>
      <c r="N19" s="66"/>
      <c r="O19" s="65"/>
      <c r="P19" s="66"/>
      <c r="Q19" s="153">
        <f>+L19</f>
        <v>54400</v>
      </c>
      <c r="R19" s="154"/>
      <c r="S19" s="66"/>
      <c r="T19" s="31"/>
    </row>
    <row r="20" spans="2:23" ht="18" customHeight="1">
      <c r="C20" s="31"/>
      <c r="D20" s="39" t="s">
        <v>34</v>
      </c>
      <c r="E20" s="63">
        <v>0</v>
      </c>
      <c r="F20" s="31"/>
      <c r="G20" s="31"/>
      <c r="H20" s="31"/>
      <c r="I20" s="31"/>
      <c r="J20" s="31"/>
      <c r="K20" s="66"/>
      <c r="L20" s="69"/>
      <c r="M20" s="69"/>
      <c r="N20" s="66"/>
      <c r="O20" s="65"/>
      <c r="P20" s="66"/>
      <c r="Q20" s="69"/>
      <c r="R20" s="69"/>
      <c r="S20" s="66"/>
      <c r="T20" s="31"/>
    </row>
    <row r="21" spans="2:23" ht="18" customHeight="1">
      <c r="C21" s="31"/>
      <c r="D21" s="22"/>
      <c r="E21" s="22"/>
      <c r="F21" s="31"/>
      <c r="G21" s="31"/>
      <c r="H21" s="31"/>
      <c r="I21" s="31"/>
      <c r="J21" s="31"/>
      <c r="K21" s="66"/>
      <c r="L21" s="69"/>
      <c r="M21" s="69"/>
      <c r="N21" s="66"/>
      <c r="O21" s="65"/>
      <c r="P21" s="66"/>
      <c r="Q21" s="69"/>
      <c r="R21" s="69"/>
      <c r="S21" s="66"/>
      <c r="T21" s="31"/>
    </row>
    <row r="22" spans="2:23" ht="18" customHeight="1">
      <c r="B22" s="40"/>
      <c r="C22" s="31"/>
      <c r="D22" s="41" t="s">
        <v>40</v>
      </c>
      <c r="E22" s="42"/>
      <c r="F22" s="17"/>
      <c r="G22" s="17"/>
      <c r="H22" s="17"/>
      <c r="I22" s="17"/>
      <c r="J22" s="31"/>
      <c r="K22" s="66"/>
      <c r="L22" s="69"/>
      <c r="M22" s="69"/>
      <c r="N22" s="68"/>
      <c r="O22" s="65"/>
      <c r="P22" s="66"/>
      <c r="Q22" s="69"/>
      <c r="R22" s="69"/>
      <c r="S22" s="68"/>
      <c r="T22" s="31"/>
      <c r="W22" s="33"/>
    </row>
    <row r="23" spans="2:23" ht="26.25" customHeight="1">
      <c r="B23" s="40"/>
      <c r="C23" s="31"/>
      <c r="D23" s="43" t="s">
        <v>38</v>
      </c>
      <c r="E23" s="44"/>
      <c r="F23" s="19"/>
      <c r="G23" s="18" t="s">
        <v>35</v>
      </c>
      <c r="H23" s="19"/>
      <c r="I23" s="18" t="s">
        <v>31</v>
      </c>
      <c r="J23" s="31"/>
      <c r="K23" s="66"/>
      <c r="L23" s="69"/>
      <c r="M23" s="69"/>
      <c r="N23" s="68"/>
      <c r="O23" s="65"/>
      <c r="P23" s="66"/>
      <c r="Q23" s="69"/>
      <c r="R23" s="69"/>
      <c r="S23" s="68"/>
      <c r="T23" s="31"/>
      <c r="W23" s="33"/>
    </row>
    <row r="24" spans="2:23" ht="18" customHeight="1">
      <c r="B24" s="45"/>
      <c r="C24" s="31"/>
      <c r="D24" s="157" t="s">
        <v>48</v>
      </c>
      <c r="E24" s="158"/>
      <c r="F24" s="31"/>
      <c r="G24" s="162">
        <f>IF(D13="Terreno Campestre",G9*1.15,IF(D13="Terreno Regular",G9*1.248625,IF(D13="Terreno Residencial",G9*1.2133,IF(D13="Terreno Premium",G9*1.2133,IF(D13="Otro Tipo",G9*1.230963,IF(D13="Sin Inversión en Terreno",G9*1.248625,0))))))</f>
        <v>165.00880000000001</v>
      </c>
      <c r="H24" s="31"/>
      <c r="I24" s="64">
        <f>IF(D13="Terreno Campestre",X95,IF(D13="Terreno Regular",X95,IF(D13="Terreno Residencial",Y95,IF(D13="Terreno Premium",Y95,IF(D13="Otro Tipo",X95,IF(D13="Sin Inversión en Terreno",X95,0))))))</f>
        <v>583</v>
      </c>
      <c r="J24" s="31"/>
      <c r="K24" s="66"/>
      <c r="L24" s="153">
        <f>IF(E26="Si",(G26*I24),G24*I24)</f>
        <v>96200.130400000009</v>
      </c>
      <c r="M24" s="154"/>
      <c r="N24" s="66"/>
      <c r="O24" s="65"/>
      <c r="P24" s="66"/>
      <c r="Q24" s="160"/>
      <c r="R24" s="161"/>
      <c r="S24" s="66"/>
      <c r="T24" s="31"/>
      <c r="W24" s="33"/>
    </row>
    <row r="25" spans="2:23" ht="18" customHeight="1">
      <c r="B25" s="45"/>
      <c r="C25" s="31"/>
      <c r="D25" s="157" t="s">
        <v>50</v>
      </c>
      <c r="E25" s="158"/>
      <c r="F25" s="31"/>
      <c r="G25" s="163"/>
      <c r="H25" s="31"/>
      <c r="I25" s="64">
        <f>+X100</f>
        <v>365</v>
      </c>
      <c r="J25" s="31"/>
      <c r="K25" s="66"/>
      <c r="L25" s="160"/>
      <c r="M25" s="161"/>
      <c r="N25" s="68"/>
      <c r="O25" s="65"/>
      <c r="P25" s="66"/>
      <c r="Q25" s="153">
        <f>IF(E26="Si",(G26*I25),G24*I25)</f>
        <v>60228.212</v>
      </c>
      <c r="R25" s="154"/>
      <c r="S25" s="66"/>
      <c r="T25" s="31"/>
      <c r="W25" s="33"/>
    </row>
    <row r="26" spans="2:23" ht="18" customHeight="1">
      <c r="B26" s="45"/>
      <c r="C26" s="31"/>
      <c r="D26" s="39" t="s">
        <v>110</v>
      </c>
      <c r="E26" s="240" t="s">
        <v>86</v>
      </c>
      <c r="F26" s="31"/>
      <c r="G26" s="15">
        <v>0</v>
      </c>
      <c r="H26" s="31"/>
      <c r="I26" s="31"/>
      <c r="J26" s="31"/>
      <c r="K26" s="66"/>
      <c r="L26" s="69"/>
      <c r="M26" s="69"/>
      <c r="N26" s="68"/>
      <c r="O26" s="65"/>
      <c r="P26" s="66"/>
      <c r="Q26" s="69"/>
      <c r="R26" s="69"/>
      <c r="S26" s="66"/>
      <c r="T26" s="31"/>
      <c r="W26" s="33"/>
    </row>
    <row r="27" spans="2:23" ht="37.5" customHeight="1">
      <c r="B27" s="45"/>
      <c r="C27" s="31"/>
      <c r="D27" s="43" t="s">
        <v>93</v>
      </c>
      <c r="E27" s="31"/>
      <c r="F27" s="31"/>
      <c r="G27" s="20"/>
      <c r="H27" s="31"/>
      <c r="I27" s="18" t="s">
        <v>161</v>
      </c>
      <c r="J27" s="31"/>
      <c r="K27" s="66"/>
      <c r="L27" s="69"/>
      <c r="M27" s="69"/>
      <c r="N27" s="68"/>
      <c r="O27" s="65"/>
      <c r="P27" s="66"/>
      <c r="Q27" s="69"/>
      <c r="R27" s="69"/>
      <c r="S27" s="68"/>
      <c r="T27" s="31"/>
      <c r="W27" s="33"/>
    </row>
    <row r="28" spans="2:23" ht="18" customHeight="1">
      <c r="B28" s="45"/>
      <c r="C28" s="31"/>
      <c r="D28" s="164" t="s">
        <v>109</v>
      </c>
      <c r="E28" s="165"/>
      <c r="F28" s="165"/>
      <c r="G28" s="166"/>
      <c r="H28" s="31"/>
      <c r="I28" s="121">
        <f>IF(D25="Mampostería Tradicional 15cm",X138,IF(D25="Mampostería Tradicional 20cm",Y138,IF(D25="Mampostería Trad 15cm + PSX 1Pulg",X138,IF(D25="Mampostería Trad 15cm + PSX 2Pulg",X138,IF(D25="Mampostería Trad 20cm + PSX 1Pulg",Y138,IF(D25="Mampostería Trad 20cm + PSX 2Pulg",Y138,0))))))</f>
        <v>3500</v>
      </c>
      <c r="J28" s="31"/>
      <c r="K28" s="66"/>
      <c r="L28" s="153">
        <f>+Q28</f>
        <v>286571.788</v>
      </c>
      <c r="M28" s="154"/>
      <c r="N28" s="66"/>
      <c r="O28" s="65"/>
      <c r="P28" s="66"/>
      <c r="Q28" s="153">
        <f>IF(D28="No Considerar",0,Q38)</f>
        <v>286571.788</v>
      </c>
      <c r="R28" s="154"/>
      <c r="S28" s="66"/>
      <c r="T28" s="31"/>
      <c r="W28" s="33"/>
    </row>
    <row r="29" spans="2:23" ht="18" customHeight="1">
      <c r="B29" s="45"/>
      <c r="C29" s="31"/>
      <c r="D29" s="22"/>
      <c r="E29" s="22"/>
      <c r="F29" s="31"/>
      <c r="G29" s="31"/>
      <c r="H29" s="31"/>
      <c r="I29" s="31"/>
      <c r="J29" s="31"/>
      <c r="K29" s="66"/>
      <c r="L29" s="69"/>
      <c r="M29" s="69"/>
      <c r="N29" s="68"/>
      <c r="O29" s="65"/>
      <c r="P29" s="66"/>
      <c r="Q29" s="69"/>
      <c r="R29" s="69"/>
      <c r="S29" s="68"/>
      <c r="T29" s="31"/>
      <c r="W29" s="33"/>
    </row>
    <row r="30" spans="2:23" ht="18" customHeight="1">
      <c r="B30" s="45"/>
      <c r="C30" s="31"/>
      <c r="D30" s="41" t="s">
        <v>41</v>
      </c>
      <c r="E30" s="42"/>
      <c r="F30" s="17"/>
      <c r="G30" s="17"/>
      <c r="H30" s="17"/>
      <c r="I30" s="17"/>
      <c r="J30" s="31"/>
      <c r="K30" s="66"/>
      <c r="L30" s="68"/>
      <c r="M30" s="68"/>
      <c r="N30" s="68"/>
      <c r="O30" s="65"/>
      <c r="P30" s="66"/>
      <c r="Q30" s="68"/>
      <c r="R30" s="68"/>
      <c r="S30" s="68"/>
      <c r="T30" s="31"/>
      <c r="W30" s="33"/>
    </row>
    <row r="31" spans="2:23" ht="24" customHeight="1">
      <c r="B31" s="45"/>
      <c r="C31" s="31"/>
      <c r="D31" s="44" t="s">
        <v>39</v>
      </c>
      <c r="E31" s="46"/>
      <c r="F31" s="19"/>
      <c r="G31" s="18" t="s">
        <v>42</v>
      </c>
      <c r="H31" s="19"/>
      <c r="I31" s="18" t="s">
        <v>31</v>
      </c>
      <c r="J31" s="31"/>
      <c r="K31" s="66"/>
      <c r="L31" s="68"/>
      <c r="M31" s="68"/>
      <c r="N31" s="68"/>
      <c r="O31" s="65"/>
      <c r="P31" s="66"/>
      <c r="Q31" s="68"/>
      <c r="R31" s="68"/>
      <c r="S31" s="68"/>
      <c r="T31" s="31"/>
      <c r="W31" s="33"/>
    </row>
    <row r="32" spans="2:23" ht="18" customHeight="1">
      <c r="B32" s="45"/>
      <c r="C32" s="31"/>
      <c r="D32" s="171" t="s">
        <v>58</v>
      </c>
      <c r="E32" s="171"/>
      <c r="F32" s="31"/>
      <c r="G32" s="21">
        <f>+G9-G10</f>
        <v>0</v>
      </c>
      <c r="H32" s="31"/>
      <c r="I32" s="64">
        <f>+X107</f>
        <v>550</v>
      </c>
      <c r="J32" s="31"/>
      <c r="K32" s="66"/>
      <c r="L32" s="153">
        <f>+G32*I32</f>
        <v>0</v>
      </c>
      <c r="M32" s="154"/>
      <c r="N32" s="68"/>
      <c r="O32" s="65"/>
      <c r="P32" s="66"/>
      <c r="Q32" s="153">
        <f>+G32*I32</f>
        <v>0</v>
      </c>
      <c r="R32" s="154"/>
      <c r="S32" s="68"/>
      <c r="T32" s="31"/>
      <c r="W32" s="33"/>
    </row>
    <row r="33" spans="2:23" ht="18" customHeight="1">
      <c r="B33" s="45"/>
      <c r="C33" s="31"/>
      <c r="D33" s="22"/>
      <c r="E33" s="22"/>
      <c r="F33" s="31"/>
      <c r="G33" s="31"/>
      <c r="H33" s="31"/>
      <c r="I33" s="31"/>
      <c r="J33" s="31"/>
      <c r="K33" s="66"/>
      <c r="L33" s="68"/>
      <c r="M33" s="68"/>
      <c r="N33" s="68"/>
      <c r="O33" s="65"/>
      <c r="P33" s="66"/>
      <c r="Q33" s="68"/>
      <c r="R33" s="68"/>
      <c r="S33" s="68"/>
      <c r="T33" s="31"/>
      <c r="W33" s="33"/>
    </row>
    <row r="34" spans="2:23" ht="18" customHeight="1">
      <c r="B34" s="45"/>
      <c r="C34" s="31"/>
      <c r="D34" s="36" t="s">
        <v>12</v>
      </c>
      <c r="E34" s="22"/>
      <c r="F34" s="31"/>
      <c r="G34" s="20" t="s">
        <v>42</v>
      </c>
      <c r="H34" s="31"/>
      <c r="I34" s="20" t="s">
        <v>31</v>
      </c>
      <c r="J34" s="31"/>
      <c r="K34" s="66"/>
      <c r="L34" s="68"/>
      <c r="M34" s="68"/>
      <c r="N34" s="68"/>
      <c r="O34" s="65"/>
      <c r="P34" s="66"/>
      <c r="Q34" s="68"/>
      <c r="R34" s="68"/>
      <c r="S34" s="68"/>
      <c r="T34" s="31"/>
      <c r="W34" s="33"/>
    </row>
    <row r="35" spans="2:23" ht="18" customHeight="1">
      <c r="B35" s="45"/>
      <c r="C35" s="31"/>
      <c r="D35" s="171" t="s">
        <v>166</v>
      </c>
      <c r="E35" s="171"/>
      <c r="F35" s="31"/>
      <c r="G35" s="162">
        <f>+G10</f>
        <v>136</v>
      </c>
      <c r="H35" s="31"/>
      <c r="I35" s="64">
        <f>+X120</f>
        <v>525</v>
      </c>
      <c r="J35" s="31"/>
      <c r="K35" s="66"/>
      <c r="L35" s="153">
        <f>+G35*I35</f>
        <v>71400</v>
      </c>
      <c r="M35" s="154"/>
      <c r="N35" s="66"/>
      <c r="O35" s="65"/>
      <c r="P35" s="66"/>
      <c r="Q35" s="160"/>
      <c r="R35" s="161"/>
      <c r="S35" s="68"/>
      <c r="T35" s="31"/>
      <c r="W35" s="33"/>
    </row>
    <row r="36" spans="2:23" ht="18" customHeight="1">
      <c r="B36" s="45"/>
      <c r="C36" s="31"/>
      <c r="D36" s="171" t="s">
        <v>58</v>
      </c>
      <c r="E36" s="171"/>
      <c r="F36" s="31"/>
      <c r="G36" s="177"/>
      <c r="H36" s="31"/>
      <c r="I36" s="64">
        <f>+Y107</f>
        <v>550</v>
      </c>
      <c r="J36" s="31"/>
      <c r="K36" s="66"/>
      <c r="L36" s="160"/>
      <c r="M36" s="161"/>
      <c r="N36" s="68"/>
      <c r="O36" s="65"/>
      <c r="P36" s="66"/>
      <c r="Q36" s="153">
        <f>+G35*I36</f>
        <v>74800</v>
      </c>
      <c r="R36" s="154"/>
      <c r="S36" s="68"/>
      <c r="T36" s="31"/>
      <c r="W36" s="33"/>
    </row>
    <row r="37" spans="2:23" ht="18" customHeight="1">
      <c r="B37" s="45"/>
      <c r="C37" s="31"/>
      <c r="D37" s="22"/>
      <c r="E37" s="22"/>
      <c r="F37" s="31"/>
      <c r="G37" s="31"/>
      <c r="H37" s="31"/>
      <c r="I37" s="65"/>
      <c r="J37" s="31"/>
      <c r="K37" s="66"/>
      <c r="L37" s="68"/>
      <c r="M37" s="68"/>
      <c r="N37" s="68"/>
      <c r="O37" s="65"/>
      <c r="P37" s="66"/>
      <c r="Q37" s="68"/>
      <c r="R37" s="68"/>
      <c r="S37" s="68"/>
      <c r="T37" s="31"/>
      <c r="W37" s="33"/>
    </row>
    <row r="38" spans="2:23" ht="18" customHeight="1">
      <c r="B38" s="45"/>
      <c r="C38" s="31"/>
      <c r="D38" s="41" t="s">
        <v>23</v>
      </c>
      <c r="E38" s="42"/>
      <c r="F38" s="17"/>
      <c r="G38" s="17"/>
      <c r="H38" s="17"/>
      <c r="I38" s="17"/>
      <c r="J38" s="31"/>
      <c r="K38" s="66"/>
      <c r="L38" s="168"/>
      <c r="M38" s="168"/>
      <c r="N38" s="68"/>
      <c r="O38" s="65"/>
      <c r="P38" s="66"/>
      <c r="Q38" s="167">
        <f>IF(D25="Mampostería Tradicional 15cm",(X142*G9)-Q19-Q25-Q32-Q36,IF(D25="Mampostería Trad 15cm + PSX 1Pulg",(X142*G9)-Q19-Q25-Q32-Q36,IF(D25="Mampostería Trad 15cm + PSX 2Pulg",(X142*G9)-Q19-Q25-Q32-Q36,IF(D25="Mampostería Tradicional 20cm",(Y142*G9)-Q19-Q25-Q32-Q36,IF(D25="Mampostería Trad 20cm + PSX 1Pulg",(Y142*G9)-Q19-Q25-Q32-Q36,IF(D25="Mampostería Trad 20cm + PSX 2Pulg",(Y142*G9)-Q19-Q25-Q32-Q36,0))))))</f>
        <v>286571.788</v>
      </c>
      <c r="R38" s="167"/>
      <c r="S38" s="68"/>
      <c r="T38" s="31"/>
      <c r="W38" s="33"/>
    </row>
    <row r="39" spans="2:23" ht="23.25" customHeight="1">
      <c r="B39" s="45"/>
      <c r="C39" s="31"/>
      <c r="D39" s="44" t="s">
        <v>43</v>
      </c>
      <c r="E39" s="44"/>
      <c r="F39" s="19"/>
      <c r="G39" s="20" t="s">
        <v>32</v>
      </c>
      <c r="H39" s="19"/>
      <c r="I39" s="18" t="s">
        <v>31</v>
      </c>
      <c r="J39" s="31"/>
      <c r="K39" s="66"/>
      <c r="L39" s="68"/>
      <c r="M39" s="68"/>
      <c r="N39" s="68"/>
      <c r="O39" s="65"/>
      <c r="P39" s="66"/>
      <c r="Q39" s="68"/>
      <c r="R39" s="68"/>
      <c r="S39" s="68"/>
      <c r="T39" s="31"/>
      <c r="W39" s="33"/>
    </row>
    <row r="40" spans="2:23" ht="18" customHeight="1">
      <c r="B40" s="45"/>
      <c r="C40" s="31"/>
      <c r="D40" s="155" t="s">
        <v>65</v>
      </c>
      <c r="E40" s="156"/>
      <c r="F40" s="31"/>
      <c r="G40" s="16">
        <f>+G9</f>
        <v>136</v>
      </c>
      <c r="H40" s="31"/>
      <c r="I40" s="64">
        <f>+X126</f>
        <v>4000</v>
      </c>
      <c r="J40" s="31"/>
      <c r="K40" s="66"/>
      <c r="L40" s="153">
        <f>IF(D40="Otro Tipo",E41*G40,G40*I40)</f>
        <v>544000</v>
      </c>
      <c r="M40" s="154"/>
      <c r="N40" s="68"/>
      <c r="O40" s="65"/>
      <c r="P40" s="66"/>
      <c r="Q40" s="153">
        <f>IF(D40="Otro Tipo",E41*G40,G40*I40)</f>
        <v>544000</v>
      </c>
      <c r="R40" s="154"/>
      <c r="S40" s="68"/>
      <c r="T40" s="31"/>
      <c r="W40" s="33"/>
    </row>
    <row r="41" spans="2:23" ht="18" customHeight="1">
      <c r="B41" s="45"/>
      <c r="C41" s="31"/>
      <c r="D41" s="39" t="s">
        <v>34</v>
      </c>
      <c r="E41" s="63">
        <v>0</v>
      </c>
      <c r="F41" s="31"/>
      <c r="G41" s="31"/>
      <c r="H41" s="31"/>
      <c r="I41" s="31"/>
      <c r="J41" s="31"/>
      <c r="K41" s="66"/>
      <c r="L41" s="68"/>
      <c r="M41" s="68"/>
      <c r="N41" s="68"/>
      <c r="O41" s="65"/>
      <c r="P41" s="66"/>
      <c r="Q41" s="68"/>
      <c r="R41" s="68"/>
      <c r="S41" s="68"/>
      <c r="T41" s="31"/>
      <c r="W41" s="33"/>
    </row>
    <row r="42" spans="2:23" ht="18" customHeight="1">
      <c r="B42" s="45"/>
      <c r="C42" s="31"/>
      <c r="D42" s="22"/>
      <c r="E42" s="22"/>
      <c r="F42" s="31"/>
      <c r="G42" s="31"/>
      <c r="H42" s="31"/>
      <c r="I42" s="31"/>
      <c r="J42" s="31"/>
      <c r="K42" s="66"/>
      <c r="L42" s="68"/>
      <c r="M42" s="68"/>
      <c r="N42" s="68"/>
      <c r="O42" s="65"/>
      <c r="P42" s="66"/>
      <c r="Q42" s="68"/>
      <c r="R42" s="68"/>
      <c r="S42" s="68"/>
      <c r="T42" s="31"/>
      <c r="W42" s="33"/>
    </row>
    <row r="43" spans="2:23" ht="18" customHeight="1">
      <c r="B43" s="45"/>
      <c r="C43" s="31"/>
      <c r="D43" s="41" t="s">
        <v>44</v>
      </c>
      <c r="E43" s="42"/>
      <c r="F43" s="17"/>
      <c r="G43" s="17"/>
      <c r="H43" s="17"/>
      <c r="I43" s="17"/>
      <c r="J43" s="31"/>
      <c r="K43" s="66"/>
      <c r="L43" s="68"/>
      <c r="M43" s="68"/>
      <c r="N43" s="68"/>
      <c r="O43" s="65"/>
      <c r="P43" s="66"/>
      <c r="Q43" s="68"/>
      <c r="R43" s="68"/>
      <c r="S43" s="68"/>
      <c r="T43" s="31"/>
      <c r="W43" s="33"/>
    </row>
    <row r="44" spans="2:23" ht="25.5" customHeight="1">
      <c r="B44" s="45"/>
      <c r="C44" s="31"/>
      <c r="D44" s="44" t="s">
        <v>24</v>
      </c>
      <c r="E44" s="44"/>
      <c r="F44" s="19"/>
      <c r="G44" s="18" t="s">
        <v>45</v>
      </c>
      <c r="H44" s="19"/>
      <c r="I44" s="18" t="s">
        <v>46</v>
      </c>
      <c r="J44" s="31"/>
      <c r="K44" s="66"/>
      <c r="L44" s="68"/>
      <c r="M44" s="68"/>
      <c r="N44" s="68"/>
      <c r="O44" s="65"/>
      <c r="P44" s="66"/>
      <c r="Q44" s="68"/>
      <c r="R44" s="68"/>
      <c r="S44" s="68"/>
      <c r="T44" s="31"/>
      <c r="W44" s="33"/>
    </row>
    <row r="45" spans="2:23" ht="18" customHeight="1">
      <c r="B45" s="45"/>
      <c r="C45" s="31"/>
      <c r="D45" s="173" t="s">
        <v>67</v>
      </c>
      <c r="E45" s="174"/>
      <c r="F45" s="31"/>
      <c r="G45" s="16">
        <f>+ROUNDUP(G9/30,0)</f>
        <v>5</v>
      </c>
      <c r="H45" s="31"/>
      <c r="I45" s="178">
        <f>+X131</f>
        <v>7000</v>
      </c>
      <c r="J45" s="31"/>
      <c r="K45" s="66"/>
      <c r="L45" s="153">
        <f>IF(E47="Si",(G47*I45),(G45*I45))</f>
        <v>35000</v>
      </c>
      <c r="M45" s="154"/>
      <c r="N45" s="66"/>
      <c r="O45" s="65"/>
      <c r="P45" s="66"/>
      <c r="Q45" s="160"/>
      <c r="R45" s="161"/>
      <c r="S45" s="68"/>
      <c r="T45" s="31"/>
      <c r="W45" s="33"/>
    </row>
    <row r="46" spans="2:23" ht="18" customHeight="1">
      <c r="B46" s="45"/>
      <c r="C46" s="31"/>
      <c r="D46" s="175"/>
      <c r="E46" s="176"/>
      <c r="F46" s="31"/>
      <c r="G46" s="16">
        <f>+ROUNDUP(G9/15,0)</f>
        <v>10</v>
      </c>
      <c r="H46" s="31"/>
      <c r="I46" s="179"/>
      <c r="J46" s="31"/>
      <c r="K46" s="66"/>
      <c r="L46" s="160"/>
      <c r="M46" s="161"/>
      <c r="N46" s="68"/>
      <c r="O46" s="65"/>
      <c r="P46" s="66"/>
      <c r="Q46" s="153">
        <f>IF(E48="Si",(G48*I45),(G46*I45))</f>
        <v>70000</v>
      </c>
      <c r="R46" s="154"/>
      <c r="S46" s="68"/>
      <c r="T46" s="31"/>
      <c r="W46" s="33"/>
    </row>
    <row r="47" spans="2:23" ht="18" customHeight="1">
      <c r="B47" s="45"/>
      <c r="C47" s="31"/>
      <c r="D47" s="47" t="s">
        <v>87</v>
      </c>
      <c r="E47" s="62" t="s">
        <v>86</v>
      </c>
      <c r="F47" s="31"/>
      <c r="G47" s="15">
        <v>0</v>
      </c>
      <c r="H47" s="31"/>
      <c r="I47" s="22"/>
      <c r="J47" s="31"/>
      <c r="K47" s="66"/>
      <c r="L47" s="70"/>
      <c r="M47" s="70"/>
      <c r="N47" s="68"/>
      <c r="O47" s="65"/>
      <c r="P47" s="66"/>
      <c r="Q47" s="68"/>
      <c r="R47" s="68"/>
      <c r="S47" s="68"/>
      <c r="T47" s="31"/>
      <c r="W47" s="33"/>
    </row>
    <row r="48" spans="2:23" ht="18" customHeight="1">
      <c r="B48" s="45"/>
      <c r="C48" s="31"/>
      <c r="D48" s="47" t="s">
        <v>88</v>
      </c>
      <c r="E48" s="62" t="s">
        <v>86</v>
      </c>
      <c r="F48" s="31"/>
      <c r="G48" s="15">
        <v>0</v>
      </c>
      <c r="H48" s="22"/>
      <c r="I48" s="22"/>
      <c r="J48" s="22"/>
      <c r="K48" s="66"/>
      <c r="L48" s="70"/>
      <c r="M48" s="70"/>
      <c r="N48" s="68"/>
      <c r="O48" s="65"/>
      <c r="P48" s="66"/>
      <c r="Q48" s="68"/>
      <c r="R48" s="68"/>
      <c r="S48" s="68"/>
      <c r="T48" s="31"/>
      <c r="W48" s="33"/>
    </row>
    <row r="49" spans="2:23" ht="12.75" customHeight="1">
      <c r="B49" s="45"/>
      <c r="C49" s="31"/>
      <c r="D49" s="22"/>
      <c r="E49" s="22"/>
      <c r="F49" s="31"/>
      <c r="G49" s="31"/>
      <c r="H49" s="31"/>
      <c r="I49" s="31"/>
      <c r="J49" s="31"/>
      <c r="K49" s="169"/>
      <c r="L49" s="170"/>
      <c r="M49" s="170"/>
      <c r="N49" s="170"/>
      <c r="O49" s="65"/>
      <c r="P49" s="169"/>
      <c r="Q49" s="170"/>
      <c r="R49" s="170"/>
      <c r="S49" s="170"/>
      <c r="T49" s="31"/>
      <c r="W49" s="33"/>
    </row>
    <row r="50" spans="2:23" ht="18" customHeight="1">
      <c r="B50" s="45"/>
      <c r="C50" s="31"/>
      <c r="D50" s="22"/>
      <c r="E50" s="22"/>
      <c r="F50" s="31"/>
      <c r="G50" s="31"/>
      <c r="H50" s="31"/>
      <c r="I50" s="31"/>
      <c r="J50" s="31"/>
      <c r="K50" s="66"/>
      <c r="L50" s="68"/>
      <c r="M50" s="68"/>
      <c r="N50" s="68"/>
      <c r="O50" s="65"/>
      <c r="P50" s="66"/>
      <c r="Q50" s="68"/>
      <c r="R50" s="68"/>
      <c r="S50" s="68"/>
      <c r="T50" s="80"/>
      <c r="W50" s="33"/>
    </row>
    <row r="51" spans="2:23" ht="23.25" customHeight="1">
      <c r="B51" s="45"/>
      <c r="C51" s="31"/>
      <c r="D51" s="22"/>
      <c r="E51" s="22"/>
      <c r="F51" s="31"/>
      <c r="G51" s="17"/>
      <c r="H51" s="17"/>
      <c r="I51" s="23" t="s">
        <v>70</v>
      </c>
      <c r="J51" s="31"/>
      <c r="K51" s="66"/>
      <c r="L51" s="180">
        <f>+L13+L19+L24+L28+L32+L35+L40+L45</f>
        <v>1929071.9184000001</v>
      </c>
      <c r="M51" s="181"/>
      <c r="N51" s="68"/>
      <c r="O51" s="65"/>
      <c r="P51" s="66"/>
      <c r="Q51" s="180">
        <f>+Q13+Q19+Q25+Q28+Q32+Q36+Q40+Q46</f>
        <v>1931500</v>
      </c>
      <c r="R51" s="181"/>
      <c r="S51" s="68"/>
      <c r="T51" s="80"/>
      <c r="W51" s="33"/>
    </row>
    <row r="52" spans="2:23" ht="12.75" customHeight="1">
      <c r="B52" s="45"/>
      <c r="C52" s="31"/>
      <c r="D52" s="22"/>
      <c r="E52" s="22"/>
      <c r="F52" s="31"/>
      <c r="G52" s="31"/>
      <c r="H52" s="31"/>
      <c r="I52" s="31"/>
      <c r="J52" s="31"/>
      <c r="K52" s="66"/>
      <c r="L52" s="68"/>
      <c r="M52" s="68"/>
      <c r="N52" s="68"/>
      <c r="O52" s="66"/>
      <c r="P52" s="66"/>
      <c r="Q52" s="68"/>
      <c r="R52" s="68"/>
      <c r="S52" s="68"/>
      <c r="T52" s="80"/>
      <c r="W52" s="33"/>
    </row>
    <row r="53" spans="2:23" ht="24" customHeight="1">
      <c r="B53" s="45"/>
      <c r="C53" s="31"/>
      <c r="D53" s="22"/>
      <c r="E53" s="22"/>
      <c r="F53" s="31"/>
      <c r="G53" s="31"/>
      <c r="H53" s="31"/>
      <c r="I53" s="20" t="s">
        <v>73</v>
      </c>
      <c r="J53" s="31"/>
      <c r="K53" s="66"/>
      <c r="L53" s="68"/>
      <c r="M53" s="185">
        <f>+L51-Q51</f>
        <v>-2428.0815999999177</v>
      </c>
      <c r="N53" s="186"/>
      <c r="O53" s="186"/>
      <c r="P53" s="186"/>
      <c r="Q53" s="187"/>
      <c r="R53" s="68"/>
      <c r="S53" s="68"/>
      <c r="T53" s="80"/>
      <c r="W53" s="33"/>
    </row>
    <row r="54" spans="2:23" ht="24" customHeight="1">
      <c r="B54" s="45"/>
      <c r="C54" s="31"/>
      <c r="D54" s="22"/>
      <c r="E54" s="22"/>
      <c r="F54" s="31"/>
      <c r="G54" s="31"/>
      <c r="H54" s="31"/>
      <c r="I54" s="20" t="s">
        <v>72</v>
      </c>
      <c r="J54" s="31"/>
      <c r="K54" s="26"/>
      <c r="L54" s="27"/>
      <c r="M54" s="188">
        <f>IF(Q51=0,"0.00 %",((M53/Q51)*100))</f>
        <v>-0.12570963499870141</v>
      </c>
      <c r="N54" s="189"/>
      <c r="O54" s="189"/>
      <c r="P54" s="189"/>
      <c r="Q54" s="190"/>
      <c r="R54" s="27"/>
      <c r="S54" s="27"/>
      <c r="T54" s="80"/>
      <c r="W54" s="33"/>
    </row>
    <row r="55" spans="2:23" ht="24" customHeight="1">
      <c r="B55" s="45"/>
      <c r="C55" s="31"/>
      <c r="D55" s="22"/>
      <c r="E55" s="22"/>
      <c r="F55" s="31"/>
      <c r="G55" s="31"/>
      <c r="H55" s="31"/>
      <c r="I55" s="20"/>
      <c r="J55" s="31"/>
      <c r="K55" s="26"/>
      <c r="L55" s="27"/>
      <c r="M55" s="191" t="str">
        <f>IF(M53&lt;0,"¡Hebel es mas económico!","")</f>
        <v>¡Hebel es mas económico!</v>
      </c>
      <c r="N55" s="191"/>
      <c r="O55" s="191"/>
      <c r="P55" s="191"/>
      <c r="Q55" s="191"/>
      <c r="R55" s="27"/>
      <c r="S55" s="27"/>
      <c r="T55" s="80"/>
      <c r="W55" s="33"/>
    </row>
    <row r="56" spans="2:23" ht="18" customHeight="1">
      <c r="B56" s="45"/>
      <c r="C56" s="31"/>
      <c r="D56" s="119"/>
      <c r="E56" s="22"/>
      <c r="F56" s="31"/>
      <c r="G56" s="31"/>
      <c r="H56" s="31"/>
      <c r="I56" s="31"/>
      <c r="J56" s="31"/>
      <c r="K56" s="26"/>
      <c r="L56" s="27"/>
      <c r="M56" s="27"/>
      <c r="N56" s="27"/>
      <c r="O56" s="27"/>
      <c r="P56" s="26"/>
      <c r="Q56" s="27"/>
      <c r="R56" s="27"/>
      <c r="S56" s="27"/>
      <c r="T56" s="80"/>
      <c r="W56" s="33"/>
    </row>
    <row r="57" spans="2:23" ht="18" customHeight="1">
      <c r="C57" s="31"/>
      <c r="D57" s="118" t="s">
        <v>158</v>
      </c>
      <c r="E57" s="22"/>
      <c r="F57" s="31"/>
      <c r="G57" s="31"/>
      <c r="H57" s="31"/>
      <c r="I57" s="31"/>
      <c r="J57" s="31"/>
      <c r="K57" s="31"/>
      <c r="L57" s="25"/>
      <c r="M57" s="25"/>
      <c r="N57" s="25"/>
      <c r="O57" s="31"/>
      <c r="P57" s="31"/>
      <c r="Q57" s="25"/>
      <c r="R57" s="25"/>
      <c r="S57" s="25"/>
      <c r="T57" s="31"/>
      <c r="W57" s="33"/>
    </row>
    <row r="58" spans="2:23" ht="18" hidden="1" customHeight="1">
      <c r="C58" s="31"/>
      <c r="D58" s="41" t="s">
        <v>76</v>
      </c>
      <c r="E58" s="42"/>
      <c r="F58" s="25"/>
      <c r="G58" s="24" t="s">
        <v>74</v>
      </c>
      <c r="H58" s="25"/>
      <c r="I58" s="24" t="s">
        <v>75</v>
      </c>
      <c r="J58" s="25"/>
      <c r="K58" s="27"/>
      <c r="L58" s="27"/>
      <c r="M58" s="27"/>
      <c r="N58" s="27"/>
      <c r="O58" s="27"/>
      <c r="P58" s="26"/>
      <c r="Q58" s="27"/>
      <c r="R58" s="27"/>
      <c r="S58" s="27"/>
      <c r="T58" s="31"/>
      <c r="W58" s="33"/>
    </row>
    <row r="59" spans="2:23" ht="23.25" hidden="1" customHeight="1">
      <c r="C59" s="31"/>
      <c r="D59" s="36"/>
      <c r="E59" s="36"/>
      <c r="F59" s="25"/>
      <c r="G59" s="20" t="s">
        <v>71</v>
      </c>
      <c r="H59" s="31"/>
      <c r="I59" s="20" t="s">
        <v>71</v>
      </c>
      <c r="J59" s="25"/>
      <c r="K59" s="27"/>
      <c r="L59" s="27"/>
      <c r="M59" s="28"/>
      <c r="N59" s="27"/>
      <c r="O59" s="27"/>
      <c r="P59" s="26"/>
      <c r="Q59" s="27"/>
      <c r="R59" s="28"/>
      <c r="S59" s="27"/>
      <c r="T59" s="31"/>
      <c r="W59" s="33"/>
    </row>
    <row r="60" spans="2:23" ht="20.100000000000001" hidden="1" customHeight="1">
      <c r="C60" s="31"/>
      <c r="D60" s="144" t="str">
        <f>+D45</f>
        <v>Sistema MiniSplit</v>
      </c>
      <c r="E60" s="172"/>
      <c r="F60" s="25"/>
      <c r="G60" s="64">
        <v>0</v>
      </c>
      <c r="H60" s="31"/>
      <c r="I60" s="64">
        <v>0</v>
      </c>
      <c r="J60" s="25"/>
      <c r="K60" s="27"/>
      <c r="L60" s="27"/>
      <c r="M60" s="28"/>
      <c r="N60" s="27"/>
      <c r="O60" s="27"/>
      <c r="P60" s="26"/>
      <c r="Q60" s="27"/>
      <c r="R60" s="29"/>
      <c r="S60" s="27"/>
      <c r="T60" s="31"/>
      <c r="W60" s="33"/>
    </row>
    <row r="61" spans="2:23" ht="19.5" hidden="1" customHeight="1">
      <c r="C61" s="31"/>
      <c r="D61" s="31"/>
      <c r="E61" s="25"/>
      <c r="F61" s="25"/>
      <c r="G61" s="20"/>
      <c r="H61" s="31"/>
      <c r="I61" s="20"/>
      <c r="J61" s="25"/>
      <c r="K61" s="27"/>
      <c r="L61" s="27"/>
      <c r="M61" s="28"/>
      <c r="N61" s="27"/>
      <c r="O61" s="27"/>
      <c r="P61" s="26"/>
      <c r="Q61" s="27"/>
      <c r="R61" s="28"/>
      <c r="S61" s="27"/>
      <c r="T61" s="31"/>
      <c r="W61" s="33"/>
    </row>
    <row r="62" spans="2:23" ht="20.100000000000001" hidden="1" customHeight="1">
      <c r="C62" s="31"/>
      <c r="D62" s="31"/>
      <c r="E62" s="25"/>
      <c r="F62" s="25"/>
      <c r="G62" s="20" t="s">
        <v>77</v>
      </c>
      <c r="H62" s="31"/>
      <c r="I62" s="64">
        <v>0</v>
      </c>
      <c r="J62" s="25"/>
      <c r="K62" s="27"/>
      <c r="L62" s="27"/>
      <c r="M62" s="28"/>
      <c r="N62" s="27"/>
      <c r="O62" s="27"/>
      <c r="P62" s="26"/>
      <c r="Q62" s="192" t="s">
        <v>95</v>
      </c>
      <c r="R62" s="193"/>
      <c r="S62" s="27"/>
      <c r="T62" s="31"/>
      <c r="W62" s="33"/>
    </row>
    <row r="63" spans="2:23" ht="20.100000000000001" hidden="1" customHeight="1">
      <c r="C63" s="31"/>
      <c r="D63" s="31"/>
      <c r="E63" s="25"/>
      <c r="F63" s="25"/>
      <c r="G63" s="20" t="s">
        <v>78</v>
      </c>
      <c r="H63" s="31"/>
      <c r="I63" s="64">
        <v>0</v>
      </c>
      <c r="J63" s="25"/>
      <c r="K63" s="27"/>
      <c r="L63" s="27"/>
      <c r="M63" s="27"/>
      <c r="N63" s="27"/>
      <c r="O63" s="27"/>
      <c r="P63" s="26"/>
      <c r="Q63" s="27"/>
      <c r="R63" s="27"/>
      <c r="S63" s="27"/>
      <c r="T63" s="31"/>
      <c r="W63" s="33"/>
    </row>
    <row r="64" spans="2:23" ht="20.100000000000001" customHeight="1">
      <c r="C64" s="31"/>
      <c r="D64" s="22"/>
      <c r="E64" s="22"/>
      <c r="F64" s="31"/>
      <c r="G64" s="31"/>
      <c r="H64" s="31"/>
      <c r="I64" s="31"/>
      <c r="J64" s="31"/>
      <c r="K64" s="31"/>
      <c r="L64" s="25"/>
      <c r="M64" s="25"/>
      <c r="N64" s="25"/>
      <c r="O64" s="31"/>
      <c r="P64" s="31"/>
      <c r="Q64" s="25"/>
      <c r="R64" s="25"/>
      <c r="S64" s="25"/>
      <c r="T64" s="31"/>
      <c r="W64" s="33"/>
    </row>
    <row r="65" spans="1:50" ht="15" customHeight="1">
      <c r="C65" s="31"/>
      <c r="D65" s="22"/>
      <c r="E65" s="22"/>
      <c r="F65" s="31"/>
      <c r="G65" s="31"/>
      <c r="H65" s="31"/>
      <c r="I65" s="31"/>
      <c r="J65" s="31"/>
      <c r="K65" s="31"/>
      <c r="L65" s="25"/>
      <c r="M65" s="25"/>
      <c r="N65" s="25"/>
      <c r="O65" s="31"/>
      <c r="P65" s="31"/>
      <c r="Q65" s="81"/>
      <c r="R65" s="81"/>
      <c r="S65" s="82" t="s">
        <v>159</v>
      </c>
      <c r="T65" s="31"/>
      <c r="W65" s="33"/>
    </row>
    <row r="66" spans="1:50" ht="15" customHeight="1">
      <c r="C66" s="31"/>
      <c r="D66" s="22"/>
      <c r="E66" s="22"/>
      <c r="F66" s="31"/>
      <c r="G66" s="31"/>
      <c r="H66" s="31"/>
      <c r="I66" s="31"/>
      <c r="J66" s="31"/>
      <c r="K66" s="31"/>
      <c r="L66" s="25"/>
      <c r="M66" s="25"/>
      <c r="N66" s="25"/>
      <c r="O66" s="31"/>
      <c r="P66" s="31"/>
      <c r="Q66" s="25"/>
      <c r="R66" s="25"/>
      <c r="S66" s="72" t="s">
        <v>157</v>
      </c>
      <c r="T66" s="31"/>
      <c r="W66" s="33"/>
    </row>
    <row r="67" spans="1:50" ht="15" customHeight="1">
      <c r="C67" s="31"/>
      <c r="D67" s="22"/>
      <c r="E67" s="22"/>
      <c r="F67" s="31"/>
      <c r="G67" s="31"/>
      <c r="H67" s="31"/>
      <c r="I67" s="31"/>
      <c r="J67" s="31"/>
      <c r="K67" s="31"/>
      <c r="L67" s="25"/>
      <c r="M67" s="25"/>
      <c r="N67" s="25"/>
      <c r="O67" s="31"/>
      <c r="P67" s="31"/>
      <c r="Q67" s="30"/>
      <c r="R67" s="25"/>
      <c r="S67" s="73" t="str">
        <f>+D8</f>
        <v xml:space="preserve"> Calculadora v12.1211 Rev 4</v>
      </c>
      <c r="T67" s="31"/>
      <c r="W67" s="33"/>
    </row>
    <row r="68" spans="1:50" ht="15" customHeight="1">
      <c r="C68" s="31"/>
      <c r="D68" s="22"/>
      <c r="E68" s="22"/>
      <c r="F68" s="31"/>
      <c r="G68" s="31"/>
      <c r="H68" s="31"/>
      <c r="I68" s="31"/>
      <c r="J68" s="31"/>
      <c r="K68" s="31"/>
      <c r="L68" s="25"/>
      <c r="M68" s="25"/>
      <c r="N68" s="25"/>
      <c r="O68" s="31"/>
      <c r="P68" s="31"/>
      <c r="Q68" s="25"/>
      <c r="R68" s="25"/>
      <c r="S68" s="25"/>
      <c r="T68" s="31"/>
      <c r="W68" s="49"/>
      <c r="X68" s="50"/>
      <c r="Y68" s="50"/>
      <c r="Z68" s="50"/>
      <c r="AA68" s="50"/>
    </row>
    <row r="69" spans="1:50" ht="20.100000000000001" customHeight="1">
      <c r="L69" s="52"/>
      <c r="M69" s="52"/>
      <c r="N69" s="52"/>
      <c r="Q69" s="52"/>
      <c r="R69" s="52"/>
      <c r="S69" s="52"/>
      <c r="W69" s="51"/>
      <c r="X69" s="50"/>
      <c r="Y69" s="50"/>
      <c r="Z69" s="50"/>
      <c r="AA69" s="50"/>
    </row>
    <row r="70" spans="1:50" ht="20.100000000000001" customHeight="1">
      <c r="L70" s="52"/>
      <c r="M70" s="52"/>
      <c r="N70" s="52"/>
      <c r="Q70" s="52"/>
      <c r="R70" s="52"/>
      <c r="S70" s="52"/>
      <c r="W70" s="49"/>
      <c r="X70" s="50"/>
      <c r="Y70" s="50"/>
      <c r="Z70" s="50"/>
      <c r="AA70" s="50"/>
    </row>
    <row r="71" spans="1:50" ht="20.100000000000001" customHeight="1">
      <c r="L71" s="52"/>
      <c r="M71" s="52"/>
      <c r="N71" s="52"/>
      <c r="Q71" s="52"/>
      <c r="R71" s="52"/>
      <c r="S71" s="52"/>
      <c r="W71" s="51"/>
      <c r="X71" s="50"/>
      <c r="Y71" s="50"/>
      <c r="Z71" s="50"/>
      <c r="AA71" s="50"/>
    </row>
    <row r="72" spans="1:50" ht="20.100000000000001" customHeight="1">
      <c r="L72" s="52"/>
      <c r="M72" s="52"/>
      <c r="N72" s="52"/>
      <c r="Q72" s="52"/>
      <c r="R72" s="52"/>
      <c r="S72" s="52"/>
      <c r="W72" s="51"/>
      <c r="X72" s="50"/>
      <c r="Y72" s="50"/>
      <c r="Z72" s="50"/>
      <c r="AA72" s="50"/>
    </row>
    <row r="73" spans="1:50" ht="20.100000000000001" customHeight="1">
      <c r="W73" s="51"/>
      <c r="X73" s="50"/>
      <c r="Y73" s="50"/>
      <c r="Z73" s="50"/>
      <c r="AA73" s="50"/>
    </row>
    <row r="74" spans="1:50" ht="20.100000000000001" customHeight="1">
      <c r="W74" s="51"/>
      <c r="X74" s="50"/>
      <c r="Y74" s="50"/>
      <c r="Z74" s="50"/>
      <c r="AA74" s="50"/>
    </row>
    <row r="75" spans="1:50" ht="12.75" customHeight="1">
      <c r="A75" s="26"/>
      <c r="B75" s="26"/>
      <c r="C75" s="26"/>
      <c r="D75" s="53"/>
      <c r="E75" s="5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53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</row>
    <row r="76" spans="1:50" ht="20.100000000000001" customHeight="1">
      <c r="W76" s="51"/>
      <c r="X76" s="50"/>
      <c r="Y76" s="50"/>
      <c r="Z76" s="50"/>
      <c r="AA76" s="50"/>
    </row>
    <row r="77" spans="1:50" ht="20.100000000000001" customHeight="1">
      <c r="W77" s="49"/>
      <c r="X77" s="50"/>
      <c r="Y77" s="50"/>
      <c r="Z77" s="50"/>
      <c r="AA77" s="50"/>
    </row>
    <row r="78" spans="1:50" ht="20.100000000000001" customHeight="1">
      <c r="W78" s="51"/>
      <c r="X78" s="50"/>
      <c r="Y78" s="50"/>
      <c r="Z78" s="50"/>
      <c r="AA78" s="50"/>
    </row>
    <row r="79" spans="1:50" ht="20.100000000000001" customHeight="1">
      <c r="W79" s="51"/>
      <c r="X79" s="50"/>
      <c r="Y79" s="50"/>
      <c r="Z79" s="50"/>
      <c r="AA79" s="50"/>
    </row>
    <row r="80" spans="1:50" ht="20.100000000000001" customHeight="1">
      <c r="W80" s="51"/>
      <c r="X80" s="50"/>
      <c r="Y80" s="50"/>
      <c r="Z80" s="50"/>
      <c r="AA80" s="50"/>
    </row>
    <row r="81" spans="23:32" ht="20.100000000000001" hidden="1" customHeight="1">
      <c r="W81" s="51"/>
      <c r="X81" s="50"/>
      <c r="Y81" s="50"/>
      <c r="Z81" s="50"/>
      <c r="AA81" s="50"/>
    </row>
    <row r="82" spans="23:32" ht="20.100000000000001" hidden="1" customHeight="1">
      <c r="W82" s="51"/>
      <c r="X82" s="183" t="s">
        <v>98</v>
      </c>
      <c r="Y82" s="183"/>
      <c r="Z82" s="183"/>
      <c r="AA82" s="183"/>
      <c r="AB82" s="183"/>
      <c r="AC82" s="183"/>
      <c r="AD82" s="129"/>
      <c r="AE82" s="130"/>
      <c r="AF82" s="130"/>
    </row>
    <row r="83" spans="23:32" ht="20.100000000000001" hidden="1" customHeight="1">
      <c r="W83" s="54" t="s">
        <v>25</v>
      </c>
      <c r="X83" s="55">
        <f>+IF(D13="Terreno Regular",X85,IF(D13="Terreno Residencial",X86,IF(D13="Terreno Premium",X87,IF(D13="Terreno Campestre",X84,IF(D13="Otro Tipo",X88,0)))))</f>
        <v>4000</v>
      </c>
      <c r="Y83" s="55">
        <f>+IF(D13="Terreno Regular",Y85,IF(D13="Terreno Residencial",Y86,IF(D13="Terreno Premium",Y87,IF(D13="Terreno Campestre",Y84,IF(D13="Otro Tipo","","")))))</f>
        <v>4500</v>
      </c>
      <c r="Z83" s="55">
        <f>+IF(D13="Terreno Regular",Z85,IF(D13="Terreno Residencial",Z86,IF(D13="Terreno Premium",Z87,IF(D13="Terreno Campestre",Z84,IF(D13="Otro Tipo","","")))))</f>
        <v>5000</v>
      </c>
      <c r="AA83" s="55">
        <f>+IF(D13="Terreno Regular",AA85,IF(D13="Terreno Residencial",AA86,IF(D13="Terreno Premium",AA87,IF(D13="Terreno Campestre",AA84,IF(D13="Otro Tipo","","")))))</f>
        <v>5500</v>
      </c>
      <c r="AB83" s="55">
        <f>+IF(D13="Terreno Regular",AB85,IF(D13="Terreno Residencial",AB86,IF(D13="Terreno Premium",AB87,IF(D13="Terreno Campestre",AB84,IF(D13="Otro Tipo","","")))))</f>
        <v>6000</v>
      </c>
      <c r="AC83" s="106">
        <f>+IF(D13="Terreno Regular",AC85,IF(D13="Terreno Residencial",AC86,IF(D13="Terreno Premium",AC87,IF(D13="Terreno Campestre",AC84,IF(D13="Otro Tipo","","")))))</f>
        <v>6500</v>
      </c>
      <c r="AD83" s="106" t="s">
        <v>165</v>
      </c>
      <c r="AE83" s="131" t="s">
        <v>163</v>
      </c>
      <c r="AF83" s="131" t="s">
        <v>164</v>
      </c>
    </row>
    <row r="84" spans="23:32" ht="20.100000000000001" hidden="1" customHeight="1">
      <c r="W84" s="56" t="s">
        <v>29</v>
      </c>
      <c r="X84" s="57">
        <f>+'Base de Datos'!C7</f>
        <v>500</v>
      </c>
      <c r="Y84" s="57">
        <f>+'Base de Datos'!D7</f>
        <v>750</v>
      </c>
      <c r="Z84" s="57">
        <f>+'Base de Datos'!E7</f>
        <v>1000</v>
      </c>
      <c r="AA84" s="57">
        <f>+'Base de Datos'!F7</f>
        <v>1250</v>
      </c>
      <c r="AB84" s="57">
        <f>+'Base de Datos'!G7</f>
        <v>1500</v>
      </c>
      <c r="AC84" s="107">
        <f>+'Base de Datos'!H7</f>
        <v>1750</v>
      </c>
      <c r="AD84" s="132">
        <f>+X83</f>
        <v>4000</v>
      </c>
      <c r="AE84" s="131">
        <v>1</v>
      </c>
      <c r="AF84" s="134">
        <v>2</v>
      </c>
    </row>
    <row r="85" spans="23:32" ht="20.100000000000001" hidden="1" customHeight="1">
      <c r="W85" s="56" t="s">
        <v>19</v>
      </c>
      <c r="X85" s="57">
        <f>+'Base de Datos'!C8</f>
        <v>2000</v>
      </c>
      <c r="Y85" s="57">
        <f>+'Base de Datos'!D8</f>
        <v>2250</v>
      </c>
      <c r="Z85" s="57">
        <f>+'Base de Datos'!E8</f>
        <v>2500</v>
      </c>
      <c r="AA85" s="57">
        <f>+'Base de Datos'!F8</f>
        <v>3000</v>
      </c>
      <c r="AB85" s="57">
        <f>+'Base de Datos'!G8</f>
        <v>3250</v>
      </c>
      <c r="AC85" s="107">
        <f>+'Base de Datos'!H8</f>
        <v>3500</v>
      </c>
      <c r="AD85" s="132">
        <f>+Y83</f>
        <v>4500</v>
      </c>
      <c r="AE85" s="131">
        <v>2</v>
      </c>
      <c r="AF85" s="133">
        <f>IF(AF84=1,AD84,IF(AF84=2,AD85,IF(AF84=3,AD86,IF(AF84=4,AD87,IF(AF84=5,AD88,IF(AF84=6,AD89,0))))))</f>
        <v>4500</v>
      </c>
    </row>
    <row r="86" spans="23:32" ht="20.100000000000001" hidden="1" customHeight="1">
      <c r="W86" s="56" t="s">
        <v>20</v>
      </c>
      <c r="X86" s="57">
        <f>+'Base de Datos'!C9</f>
        <v>4000</v>
      </c>
      <c r="Y86" s="57">
        <f>+'Base de Datos'!D9</f>
        <v>4500</v>
      </c>
      <c r="Z86" s="57">
        <f>+'Base de Datos'!E9</f>
        <v>5000</v>
      </c>
      <c r="AA86" s="57">
        <f>+'Base de Datos'!F9</f>
        <v>5500</v>
      </c>
      <c r="AB86" s="57">
        <f>+'Base de Datos'!G9</f>
        <v>6000</v>
      </c>
      <c r="AC86" s="107">
        <f>+'Base de Datos'!H9</f>
        <v>6500</v>
      </c>
      <c r="AD86" s="132">
        <f>+Z83</f>
        <v>5000</v>
      </c>
      <c r="AE86" s="131">
        <v>3</v>
      </c>
      <c r="AF86" s="48"/>
    </row>
    <row r="87" spans="23:32" ht="20.100000000000001" hidden="1" customHeight="1">
      <c r="W87" s="56" t="s">
        <v>21</v>
      </c>
      <c r="X87" s="57">
        <f>+'Base de Datos'!C10</f>
        <v>7000</v>
      </c>
      <c r="Y87" s="57">
        <f>+'Base de Datos'!D10</f>
        <v>8000</v>
      </c>
      <c r="Z87" s="57">
        <f>+'Base de Datos'!E10</f>
        <v>9000</v>
      </c>
      <c r="AA87" s="57">
        <f>+'Base de Datos'!F10</f>
        <v>10000</v>
      </c>
      <c r="AB87" s="57">
        <f>+'Base de Datos'!G10</f>
        <v>11000</v>
      </c>
      <c r="AC87" s="107">
        <f>+'Base de Datos'!H10</f>
        <v>12000</v>
      </c>
      <c r="AD87" s="132">
        <f>+AA83</f>
        <v>5500</v>
      </c>
      <c r="AE87" s="131">
        <v>4</v>
      </c>
      <c r="AF87" s="48"/>
    </row>
    <row r="88" spans="23:32" ht="20.100000000000001" hidden="1" customHeight="1">
      <c r="W88" s="71" t="s">
        <v>22</v>
      </c>
      <c r="X88" s="78">
        <f>+E14</f>
        <v>0</v>
      </c>
      <c r="Y88" s="48"/>
      <c r="Z88" s="48"/>
      <c r="AA88" s="48"/>
      <c r="AB88" s="48"/>
      <c r="AC88" s="100"/>
      <c r="AD88" s="132">
        <f>+AB83</f>
        <v>6000</v>
      </c>
      <c r="AE88" s="131">
        <v>5</v>
      </c>
      <c r="AF88" s="48"/>
    </row>
    <row r="89" spans="23:32" ht="20.100000000000001" hidden="1" customHeight="1">
      <c r="W89" s="59" t="s">
        <v>94</v>
      </c>
      <c r="X89" s="48">
        <v>0</v>
      </c>
      <c r="Y89" s="48"/>
      <c r="Z89" s="48"/>
      <c r="AA89" s="48"/>
      <c r="AB89" s="48"/>
      <c r="AC89" s="100"/>
      <c r="AD89" s="132">
        <f>+AC83</f>
        <v>6500</v>
      </c>
      <c r="AE89" s="131">
        <v>6</v>
      </c>
      <c r="AF89" s="48"/>
    </row>
    <row r="90" spans="23:32" ht="20.100000000000001" hidden="1" customHeight="1">
      <c r="W90" s="54" t="s">
        <v>51</v>
      </c>
      <c r="X90" s="55">
        <f>+IF(D19="Zapata Corrida y Firme",X91,IF(D19="Zapatas Aisladas y Firme",X92,IF(D19="Cim Piloteada y Firme",X93,IF(D19="Otro Tipo",X94,0))))</f>
        <v>400</v>
      </c>
      <c r="Y90" s="60"/>
      <c r="Z90" s="60"/>
      <c r="AA90" s="60"/>
      <c r="AB90" s="60"/>
      <c r="AC90" s="108"/>
      <c r="AD90" s="108"/>
      <c r="AE90" s="108"/>
      <c r="AF90" s="108"/>
    </row>
    <row r="91" spans="23:32" ht="20.100000000000001" hidden="1" customHeight="1">
      <c r="W91" s="61" t="s">
        <v>83</v>
      </c>
      <c r="X91" s="57">
        <f>+'Base de Datos'!C14</f>
        <v>400</v>
      </c>
      <c r="Y91" s="48"/>
      <c r="Z91" s="48"/>
      <c r="AA91" s="48"/>
      <c r="AB91" s="48"/>
      <c r="AC91" s="100"/>
      <c r="AD91" s="100"/>
      <c r="AE91" s="48"/>
    </row>
    <row r="92" spans="23:32" ht="20.100000000000001" hidden="1" customHeight="1">
      <c r="W92" s="61" t="s">
        <v>84</v>
      </c>
      <c r="X92" s="57">
        <f>+'Base de Datos'!C15</f>
        <v>400</v>
      </c>
      <c r="Y92" s="48"/>
      <c r="Z92" s="48"/>
      <c r="AA92" s="48"/>
      <c r="AB92" s="48"/>
      <c r="AC92" s="100"/>
      <c r="AD92" s="100"/>
      <c r="AE92" s="48"/>
    </row>
    <row r="93" spans="23:32" ht="20.100000000000001" hidden="1" customHeight="1">
      <c r="W93" s="61" t="s">
        <v>85</v>
      </c>
      <c r="X93" s="57">
        <f>+'Base de Datos'!C16</f>
        <v>1250</v>
      </c>
      <c r="Y93" s="48"/>
      <c r="Z93" s="48"/>
      <c r="AA93" s="48"/>
      <c r="AB93" s="48"/>
      <c r="AC93" s="100"/>
      <c r="AD93" s="100"/>
      <c r="AE93" s="48"/>
    </row>
    <row r="94" spans="23:32" ht="20.100000000000001" hidden="1" customHeight="1">
      <c r="W94" s="56" t="s">
        <v>22</v>
      </c>
      <c r="X94" s="78">
        <f>+E20</f>
        <v>0</v>
      </c>
      <c r="Y94" s="48"/>
      <c r="Z94" s="48"/>
      <c r="AA94" s="48"/>
      <c r="AB94" s="48"/>
      <c r="AC94" s="100"/>
      <c r="AD94" s="100"/>
      <c r="AE94" s="48"/>
    </row>
    <row r="95" spans="23:32" ht="20.100000000000001" hidden="1" customHeight="1">
      <c r="W95" s="54" t="s">
        <v>81</v>
      </c>
      <c r="X95" s="55">
        <f>IF(D24="Mamp Confinada Hebel 15cm",X96,IF(D24="Mamp Confinada Hebel 20cm",X97,IF(D24="Mampostería Reforzada Hebel 15cm",X98,IF(D24="Mampostería Reforzada Hebel 20cm",X99,0))))</f>
        <v>532</v>
      </c>
      <c r="Y95" s="55">
        <f>IF(D24="Mamp Confinada Hebel 15cm",Y96,IF(D24="Mamp Confinada Hebel 20cm",Y97,IF(D24="Mampostería Reforzada Hebel 15cm",Y98,IF(D24="Mampostería Reforzada Hebel 20cm",Y99,0))))</f>
        <v>583</v>
      </c>
      <c r="Z95" s="146" t="s">
        <v>89</v>
      </c>
      <c r="AA95" s="147"/>
      <c r="AB95" s="147"/>
      <c r="AC95" s="147"/>
      <c r="AD95" s="127"/>
      <c r="AE95" s="48"/>
    </row>
    <row r="96" spans="23:32" ht="20.100000000000001" hidden="1" customHeight="1">
      <c r="W96" s="56" t="s">
        <v>48</v>
      </c>
      <c r="X96" s="57">
        <f>+'Base de Datos'!C18</f>
        <v>532</v>
      </c>
      <c r="Y96" s="57">
        <f>+'Base de Datos'!D18</f>
        <v>583</v>
      </c>
      <c r="Z96" s="184" t="s">
        <v>90</v>
      </c>
      <c r="AA96" s="145"/>
      <c r="AB96" s="145"/>
      <c r="AC96" s="145"/>
      <c r="AD96" s="126"/>
      <c r="AE96" s="48"/>
    </row>
    <row r="97" spans="23:31" ht="20.100000000000001" hidden="1" customHeight="1">
      <c r="W97" s="56" t="s">
        <v>49</v>
      </c>
      <c r="X97" s="57">
        <f>+'Base de Datos'!C19</f>
        <v>612</v>
      </c>
      <c r="Y97" s="57">
        <f>+'Base de Datos'!D19</f>
        <v>676</v>
      </c>
      <c r="Z97" s="184" t="s">
        <v>91</v>
      </c>
      <c r="AA97" s="145"/>
      <c r="AB97" s="145"/>
      <c r="AC97" s="145"/>
      <c r="AD97" s="126"/>
      <c r="AE97" s="48"/>
    </row>
    <row r="98" spans="23:31" ht="20.100000000000001" hidden="1" customHeight="1">
      <c r="W98" s="56" t="s">
        <v>54</v>
      </c>
      <c r="X98" s="57">
        <f>+'Base de Datos'!C20</f>
        <v>490</v>
      </c>
      <c r="Y98" s="57">
        <f>+'Base de Datos'!D20</f>
        <v>520</v>
      </c>
      <c r="Z98" s="144"/>
      <c r="AA98" s="145"/>
      <c r="AB98" s="145"/>
      <c r="AC98" s="145"/>
      <c r="AD98" s="126"/>
      <c r="AE98" s="48"/>
    </row>
    <row r="99" spans="23:31" ht="20.100000000000001" hidden="1" customHeight="1">
      <c r="W99" s="56" t="s">
        <v>55</v>
      </c>
      <c r="X99" s="57">
        <f>+'Base de Datos'!C21</f>
        <v>595</v>
      </c>
      <c r="Y99" s="57">
        <f>+'Base de Datos'!D21</f>
        <v>619</v>
      </c>
      <c r="Z99" s="144"/>
      <c r="AA99" s="145"/>
      <c r="AB99" s="145"/>
      <c r="AC99" s="145"/>
      <c r="AD99" s="126"/>
      <c r="AE99" s="48"/>
    </row>
    <row r="100" spans="23:31" ht="20.100000000000001" hidden="1" customHeight="1">
      <c r="W100" s="54" t="s">
        <v>52</v>
      </c>
      <c r="X100" s="55">
        <f>IF(D25="Mampostería Tradicional 15cm",X101,IF(D25="Mampostería Tradicional 20cm",X102,IF(D25="Mampostería Trad 15cm + PSX 1Pulg",X103,IF(D25="Mampostería Trad 15cm + PSX 2Pulg",X104,IF(D25="Mampostería Trad 20cm + PSX 1Pulg",X105,IF(D25="Mampostería Trad 20cm + PSX 2Pulg",X106,0))))))</f>
        <v>365</v>
      </c>
      <c r="Y100" s="55"/>
      <c r="Z100" s="55"/>
      <c r="AA100" s="55"/>
      <c r="AB100" s="60"/>
      <c r="AC100" s="108"/>
      <c r="AD100" s="108"/>
      <c r="AE100" s="48"/>
    </row>
    <row r="101" spans="23:31" ht="20.100000000000001" hidden="1" customHeight="1">
      <c r="W101" s="56" t="s">
        <v>50</v>
      </c>
      <c r="X101" s="57">
        <f>+'Base de Datos'!C23</f>
        <v>365</v>
      </c>
      <c r="Y101" s="75"/>
      <c r="Z101" s="48"/>
      <c r="AA101" s="48"/>
      <c r="AB101" s="75" t="s">
        <v>133</v>
      </c>
      <c r="AC101" s="109">
        <f>IF(E26="Si",G26,G24)</f>
        <v>165.00880000000001</v>
      </c>
      <c r="AD101" s="109"/>
      <c r="AE101" s="48"/>
    </row>
    <row r="102" spans="23:31" ht="20.100000000000001" hidden="1" customHeight="1">
      <c r="W102" s="56" t="s">
        <v>53</v>
      </c>
      <c r="X102" s="57">
        <f>+'Base de Datos'!C24</f>
        <v>420</v>
      </c>
      <c r="Y102" s="141" t="s">
        <v>120</v>
      </c>
      <c r="Z102" s="142"/>
      <c r="AA102" s="143"/>
      <c r="AB102" s="75" t="s">
        <v>132</v>
      </c>
      <c r="AC102" s="109">
        <f>+G9</f>
        <v>136</v>
      </c>
      <c r="AD102" s="109"/>
      <c r="AE102" s="48"/>
    </row>
    <row r="103" spans="23:31" ht="20.100000000000001" hidden="1" customHeight="1">
      <c r="W103" s="76" t="s">
        <v>106</v>
      </c>
      <c r="X103" s="96">
        <f>+'Base de Datos'!C25</f>
        <v>495</v>
      </c>
      <c r="Y103" s="75" t="s">
        <v>118</v>
      </c>
      <c r="Z103" s="148">
        <f>+((X103*AC101)-(X101*AC101))/AC102</f>
        <v>157.72900000000001</v>
      </c>
      <c r="AA103" s="149"/>
      <c r="AB103" s="48"/>
      <c r="AC103" s="110"/>
      <c r="AD103" s="110"/>
      <c r="AE103" s="48"/>
    </row>
    <row r="104" spans="23:31" ht="20.100000000000001" hidden="1" customHeight="1">
      <c r="W104" s="76" t="s">
        <v>107</v>
      </c>
      <c r="X104" s="96">
        <f>+'Base de Datos'!C26</f>
        <v>565</v>
      </c>
      <c r="Y104" s="75" t="s">
        <v>119</v>
      </c>
      <c r="Z104" s="148">
        <f>+((X104*AC101)-(X101*AC101))/AC102</f>
        <v>242.66000000000008</v>
      </c>
      <c r="AA104" s="149"/>
      <c r="AB104" s="48"/>
      <c r="AC104" s="110"/>
      <c r="AD104" s="110"/>
      <c r="AE104" s="48"/>
    </row>
    <row r="105" spans="23:31" ht="20.100000000000001" hidden="1" customHeight="1">
      <c r="W105" s="76" t="s">
        <v>108</v>
      </c>
      <c r="X105" s="96">
        <f>+'Base de Datos'!C27</f>
        <v>550</v>
      </c>
      <c r="Y105" s="75" t="s">
        <v>118</v>
      </c>
      <c r="Z105" s="148">
        <f>+((X105*AC101)-(X102*AC101))/AC102</f>
        <v>157.7290000000001</v>
      </c>
      <c r="AA105" s="149"/>
      <c r="AB105" s="48"/>
      <c r="AC105" s="110"/>
      <c r="AD105" s="110"/>
      <c r="AE105" s="48"/>
    </row>
    <row r="106" spans="23:31" ht="20.100000000000001" hidden="1" customHeight="1">
      <c r="W106" s="76" t="s">
        <v>122</v>
      </c>
      <c r="X106" s="96">
        <f>+'Base de Datos'!C28</f>
        <v>620</v>
      </c>
      <c r="Y106" s="75" t="s">
        <v>119</v>
      </c>
      <c r="Z106" s="148">
        <f>+((X106*AC101)-(X102*AC101))/AC102</f>
        <v>242.66000000000008</v>
      </c>
      <c r="AA106" s="149"/>
      <c r="AB106" s="48"/>
      <c r="AC106" s="110"/>
      <c r="AD106" s="110"/>
      <c r="AE106" s="48"/>
    </row>
    <row r="107" spans="23:31" ht="20.100000000000001" hidden="1" customHeight="1">
      <c r="W107" s="54" t="s">
        <v>80</v>
      </c>
      <c r="X107" s="55">
        <f>IF(D32="Losa Aligerada Barroblock 15cm",X108,IF(D32="Losa Aligerada Barroblock 20cm",X111,IF(D32="Vigueta y Bovedilla 15cm",X114,IF(D32="Vigueta y Bovedilla 20cm",X117,IF(D32="Losa Aligerada Barroblock 15cm + PSX 1Pulg",X109,IF(D32="Losa Aligerada Barroblock 15cm + PSX 2Pulg",X110,IF(D32="Losa Aligerada Barroblock 20cm + PSX 1Pulg",X112,IF(D32="Losa Aligerada Barroblock 20cm + PSX 2Pulg",X113,IF(D32="Vigueta y Bovedilla 15cm + PSX 1Pulg",X115,IF(D32="Vigueta y Bovedilla 15cm + PSX 2Pulg",X116,IF(D32="Vigueta y Bovedilla 20cm + PSX 1Pulg",X118,IF(D32="Vigueta y Bovedilla 20cm + PSX 2Pulg",X119,0))))))))))))</f>
        <v>550</v>
      </c>
      <c r="Y107" s="55">
        <f>IF(D36="Losa Aligerada Barroblock 15cm",X108,IF(D36="Losa Aligerada Barroblock 20cm",X111,IF(D36="Vigueta y Bovedilla 15cm",X114,IF(D36="Vigueta y Bovedilla 20cm",X117,IF(D36="Losa Aligerada Barroblock 15cm + PSX 1Pulg",X109,IF(D36="Losa Aligerada Barroblock 15cm + PSX 2Pulg",X110,IF(D36="Losa Aligerada Barroblock 20cm + PSX 1Pulg",X112,IF(D36="Losa Aligerada Barroblock 20cm + PSX 2Pulg",X113,IF(D36="Vigueta y Bovedilla 15cm + PSX 1Pulg",X115,IF(D36="Vigueta y Bovedilla 15cm + PSX 2Pulg",X116,IF(D36="Vigueta y Bovedilla 20cm + PSX 1Pulg",X118,IF(D36="Vigueta y Bovedilla 20cm + PSX 2Pulg",X119,0))))))))))))</f>
        <v>550</v>
      </c>
      <c r="Z107" s="99" t="s">
        <v>142</v>
      </c>
      <c r="AA107" s="60"/>
      <c r="AB107" s="60"/>
      <c r="AC107" s="108"/>
      <c r="AD107" s="108"/>
      <c r="AE107" s="48"/>
    </row>
    <row r="108" spans="23:31" ht="20.100000000000001" hidden="1" customHeight="1">
      <c r="W108" s="56" t="s">
        <v>56</v>
      </c>
      <c r="X108" s="57">
        <f>+'Base de Datos'!C30</f>
        <v>650</v>
      </c>
      <c r="Y108" s="57"/>
      <c r="Z108" s="150"/>
      <c r="AA108" s="151"/>
      <c r="AB108" s="75" t="s">
        <v>143</v>
      </c>
      <c r="AC108" s="109">
        <f>+G10</f>
        <v>136</v>
      </c>
      <c r="AD108" s="109"/>
      <c r="AE108" s="48"/>
    </row>
    <row r="109" spans="23:31" ht="20.100000000000001" hidden="1" customHeight="1">
      <c r="W109" s="76" t="s">
        <v>137</v>
      </c>
      <c r="X109" s="57">
        <f>+'Base de Datos'!C31</f>
        <v>880</v>
      </c>
      <c r="Y109" s="57"/>
      <c r="Z109" s="137">
        <f>((X109*AC108)-(X108*AC108))/AC109</f>
        <v>230</v>
      </c>
      <c r="AA109" s="138"/>
      <c r="AB109" s="75" t="s">
        <v>132</v>
      </c>
      <c r="AC109" s="109">
        <f>+AC102</f>
        <v>136</v>
      </c>
      <c r="AD109" s="109"/>
      <c r="AE109" s="48"/>
    </row>
    <row r="110" spans="23:31" ht="20.100000000000001" hidden="1" customHeight="1">
      <c r="W110" s="76" t="s">
        <v>138</v>
      </c>
      <c r="X110" s="57">
        <f>+'Base de Datos'!C32</f>
        <v>950</v>
      </c>
      <c r="Y110" s="57"/>
      <c r="Z110" s="137">
        <f>+((X110*AC108)-(X108*AC108))/AC109</f>
        <v>300</v>
      </c>
      <c r="AA110" s="138"/>
      <c r="AB110" s="48"/>
      <c r="AC110" s="100"/>
      <c r="AD110" s="100"/>
      <c r="AE110" s="48"/>
    </row>
    <row r="111" spans="23:31" ht="20.100000000000001" hidden="1" customHeight="1">
      <c r="W111" s="56" t="s">
        <v>57</v>
      </c>
      <c r="X111" s="57">
        <f>+'Base de Datos'!C33</f>
        <v>800</v>
      </c>
      <c r="Y111" s="57"/>
      <c r="Z111" s="137"/>
      <c r="AA111" s="138"/>
      <c r="AB111" s="48"/>
      <c r="AC111" s="100"/>
      <c r="AD111" s="100"/>
      <c r="AE111" s="48"/>
    </row>
    <row r="112" spans="23:31" ht="20.100000000000001" hidden="1" customHeight="1">
      <c r="W112" s="76" t="s">
        <v>139</v>
      </c>
      <c r="X112" s="57">
        <f>+'Base de Datos'!C34</f>
        <v>1030</v>
      </c>
      <c r="Y112" s="57"/>
      <c r="Z112" s="137">
        <f>+((X112*AC108)-(X111*AC108))/AC109</f>
        <v>230</v>
      </c>
      <c r="AA112" s="138"/>
      <c r="AB112" s="48"/>
      <c r="AC112" s="100"/>
      <c r="AD112" s="100"/>
      <c r="AE112" s="48"/>
    </row>
    <row r="113" spans="23:31" ht="20.100000000000001" hidden="1" customHeight="1">
      <c r="W113" s="76" t="s">
        <v>140</v>
      </c>
      <c r="X113" s="57">
        <f>+'Base de Datos'!C35</f>
        <v>1100</v>
      </c>
      <c r="Y113" s="57"/>
      <c r="Z113" s="137">
        <f>+((X113*AC108)-(X111*AC108))/AC109</f>
        <v>300</v>
      </c>
      <c r="AA113" s="138"/>
      <c r="AB113" s="48"/>
      <c r="AC113" s="100"/>
      <c r="AD113" s="100"/>
      <c r="AE113" s="48"/>
    </row>
    <row r="114" spans="23:31" ht="20.100000000000001" hidden="1" customHeight="1">
      <c r="W114" s="56" t="s">
        <v>58</v>
      </c>
      <c r="X114" s="57">
        <f>+'Base de Datos'!C36</f>
        <v>550</v>
      </c>
      <c r="Y114" s="57"/>
      <c r="Z114" s="76"/>
      <c r="AA114" s="48"/>
      <c r="AB114" s="48"/>
      <c r="AC114" s="100"/>
      <c r="AD114" s="100"/>
      <c r="AE114" s="48"/>
    </row>
    <row r="115" spans="23:31" ht="20.100000000000001" hidden="1" customHeight="1">
      <c r="W115" s="103" t="s">
        <v>149</v>
      </c>
      <c r="X115" s="57">
        <f>+'Base de Datos'!C37</f>
        <v>780</v>
      </c>
      <c r="Y115" s="57"/>
      <c r="Z115" s="137">
        <f>+((X115*AC108)-(X114*AC108))/AC109</f>
        <v>230</v>
      </c>
      <c r="AA115" s="138"/>
      <c r="AB115" s="104" t="s">
        <v>154</v>
      </c>
      <c r="AC115" s="105" t="str">
        <f>+D32</f>
        <v>Vigueta y Bovedilla 15cm</v>
      </c>
      <c r="AD115" s="105"/>
      <c r="AE115" s="48"/>
    </row>
    <row r="116" spans="23:31" ht="20.100000000000001" hidden="1" customHeight="1">
      <c r="W116" s="103" t="s">
        <v>150</v>
      </c>
      <c r="X116" s="57">
        <f>+'Base de Datos'!C38</f>
        <v>850</v>
      </c>
      <c r="Y116" s="57"/>
      <c r="Z116" s="137">
        <f>+((X116*AC108)-(X114*AC108))/AC109</f>
        <v>300</v>
      </c>
      <c r="AA116" s="138"/>
      <c r="AB116" s="104" t="s">
        <v>154</v>
      </c>
      <c r="AC116" s="105" t="str">
        <f>+D36</f>
        <v>Vigueta y Bovedilla 15cm</v>
      </c>
      <c r="AD116" s="105"/>
      <c r="AE116" s="48"/>
    </row>
    <row r="117" spans="23:31" ht="20.100000000000001" hidden="1" customHeight="1">
      <c r="W117" s="56" t="s">
        <v>59</v>
      </c>
      <c r="X117" s="57">
        <f>+'Base de Datos'!C39</f>
        <v>650</v>
      </c>
      <c r="Y117" s="57"/>
      <c r="Z117" s="111"/>
      <c r="AA117" s="112"/>
      <c r="AB117" s="48"/>
      <c r="AC117" s="100"/>
      <c r="AD117" s="100"/>
      <c r="AE117" s="48"/>
    </row>
    <row r="118" spans="23:31" ht="20.100000000000001" hidden="1" customHeight="1">
      <c r="W118" s="103" t="s">
        <v>151</v>
      </c>
      <c r="X118" s="57">
        <f>+'Base de Datos'!C40</f>
        <v>880</v>
      </c>
      <c r="Y118" s="57"/>
      <c r="Z118" s="137">
        <f>+((X118*AC108)-(X117*AC108))/AC109</f>
        <v>230</v>
      </c>
      <c r="AA118" s="138"/>
      <c r="AB118" s="48"/>
      <c r="AC118" s="100"/>
      <c r="AD118" s="100"/>
      <c r="AE118" s="48"/>
    </row>
    <row r="119" spans="23:31" ht="20.100000000000001" hidden="1" customHeight="1">
      <c r="W119" s="103" t="s">
        <v>152</v>
      </c>
      <c r="X119" s="57">
        <f>+'Base de Datos'!C41</f>
        <v>950</v>
      </c>
      <c r="Y119" s="57"/>
      <c r="Z119" s="137">
        <f>+((X119*AC108)-(X117*AC108))/AC109</f>
        <v>300</v>
      </c>
      <c r="AA119" s="138"/>
      <c r="AB119" s="48"/>
      <c r="AC119" s="100"/>
      <c r="AD119" s="100"/>
      <c r="AE119" s="48"/>
    </row>
    <row r="120" spans="23:31" ht="20.100000000000001" hidden="1" customHeight="1">
      <c r="W120" s="54" t="s">
        <v>79</v>
      </c>
      <c r="X120" s="55">
        <f>IF(D35="Panel Hebel para Losa 12.5cm",X121,IF(D35="Panel Hebel para Losa 15.0cm",X122,IF(D35="Panel Hebel para Losa 17.5cm",X123,IF(D35="Panel Hebel para Losa 20.0cm",X124,IF(D35="Panel Hebel para Losa 25.0cm",X125,0)))))</f>
        <v>525</v>
      </c>
      <c r="Y120" s="60"/>
      <c r="Z120" s="60"/>
      <c r="AA120" s="60"/>
      <c r="AB120" s="60"/>
      <c r="AC120" s="108"/>
      <c r="AD120" s="108"/>
      <c r="AE120" s="48"/>
    </row>
    <row r="121" spans="23:31" ht="20.100000000000001" hidden="1" customHeight="1">
      <c r="W121" s="135" t="s">
        <v>166</v>
      </c>
      <c r="X121" s="57">
        <f>+'Base de Datos'!C43</f>
        <v>525</v>
      </c>
      <c r="Y121" s="48"/>
      <c r="Z121" s="48"/>
      <c r="AA121" s="48"/>
      <c r="AB121" s="48"/>
      <c r="AC121" s="100"/>
      <c r="AD121" s="100"/>
      <c r="AE121" s="48"/>
    </row>
    <row r="122" spans="23:31" ht="20.100000000000001" hidden="1" customHeight="1">
      <c r="W122" s="135" t="s">
        <v>60</v>
      </c>
      <c r="X122" s="57">
        <f>+'Base de Datos'!C44</f>
        <v>675</v>
      </c>
      <c r="Y122" s="48"/>
      <c r="Z122" s="48"/>
      <c r="AA122" s="48"/>
      <c r="AB122" s="48"/>
      <c r="AC122" s="100"/>
      <c r="AD122" s="100"/>
      <c r="AE122" s="48"/>
    </row>
    <row r="123" spans="23:31" ht="20.100000000000001" hidden="1" customHeight="1">
      <c r="W123" s="56" t="s">
        <v>61</v>
      </c>
      <c r="X123" s="57">
        <f>+'Base de Datos'!C45</f>
        <v>745</v>
      </c>
      <c r="Y123" s="48"/>
      <c r="Z123" s="48"/>
      <c r="AA123" s="48"/>
      <c r="AB123" s="48"/>
      <c r="AC123" s="100"/>
      <c r="AD123" s="100"/>
      <c r="AE123" s="48"/>
    </row>
    <row r="124" spans="23:31" ht="20.100000000000001" hidden="1" customHeight="1">
      <c r="W124" s="56" t="s">
        <v>62</v>
      </c>
      <c r="X124" s="57">
        <f>+'Base de Datos'!C46</f>
        <v>835</v>
      </c>
      <c r="Y124" s="48"/>
      <c r="Z124" s="48"/>
      <c r="AA124" s="48"/>
      <c r="AB124" s="48"/>
      <c r="AC124" s="100"/>
      <c r="AD124" s="100"/>
      <c r="AE124" s="48"/>
    </row>
    <row r="125" spans="23:31" ht="20.100000000000001" hidden="1" customHeight="1">
      <c r="W125" s="56" t="s">
        <v>63</v>
      </c>
      <c r="X125" s="57">
        <f>+'Base de Datos'!C47</f>
        <v>975</v>
      </c>
      <c r="Y125" s="48"/>
      <c r="Z125" s="48"/>
      <c r="AA125" s="48"/>
      <c r="AB125" s="48"/>
      <c r="AC125" s="100"/>
      <c r="AD125" s="100"/>
      <c r="AE125" s="48"/>
    </row>
    <row r="126" spans="23:31" ht="20.100000000000001" hidden="1" customHeight="1">
      <c r="W126" s="54" t="s">
        <v>27</v>
      </c>
      <c r="X126" s="55">
        <f>IF(D40="Acabado Regular",X127,IF(D40="Acabado Residencial",X128,IF(D40="Acabado Premium",X129,IF(D40="Otro Tipo",X130,0))))</f>
        <v>4000</v>
      </c>
      <c r="Y126" s="60"/>
      <c r="Z126" s="60"/>
      <c r="AA126" s="60"/>
      <c r="AB126" s="60"/>
      <c r="AC126" s="108"/>
      <c r="AD126" s="108"/>
      <c r="AE126" s="48"/>
    </row>
    <row r="127" spans="23:31" ht="20.100000000000001" hidden="1" customHeight="1">
      <c r="W127" s="56" t="s">
        <v>64</v>
      </c>
      <c r="X127" s="57">
        <f>+'Base de Datos'!C49</f>
        <v>2000</v>
      </c>
      <c r="Y127" s="48"/>
      <c r="Z127" s="48"/>
      <c r="AA127" s="48"/>
      <c r="AB127" s="48"/>
      <c r="AC127" s="100"/>
      <c r="AD127" s="100"/>
      <c r="AE127" s="48"/>
    </row>
    <row r="128" spans="23:31" ht="20.100000000000001" hidden="1" customHeight="1">
      <c r="W128" s="56" t="s">
        <v>65</v>
      </c>
      <c r="X128" s="57">
        <f>+'Base de Datos'!C50</f>
        <v>4000</v>
      </c>
      <c r="Y128" s="48"/>
      <c r="Z128" s="48"/>
      <c r="AA128" s="48"/>
      <c r="AB128" s="48"/>
      <c r="AC128" s="100"/>
      <c r="AD128" s="100"/>
      <c r="AE128" s="48"/>
    </row>
    <row r="129" spans="23:31" ht="20.100000000000001" hidden="1" customHeight="1">
      <c r="W129" s="56" t="s">
        <v>66</v>
      </c>
      <c r="X129" s="57">
        <f>+'Base de Datos'!C51</f>
        <v>6500</v>
      </c>
      <c r="Y129" s="48"/>
      <c r="Z129" s="48"/>
      <c r="AA129" s="48"/>
      <c r="AB129" s="48"/>
      <c r="AC129" s="100"/>
      <c r="AD129" s="100"/>
      <c r="AE129" s="48"/>
    </row>
    <row r="130" spans="23:31" ht="20.100000000000001" hidden="1" customHeight="1">
      <c r="W130" s="56" t="s">
        <v>22</v>
      </c>
      <c r="X130" s="78">
        <f>+E41</f>
        <v>0</v>
      </c>
      <c r="Y130" s="48"/>
      <c r="Z130" s="48"/>
      <c r="AA130" s="48"/>
      <c r="AB130" s="48"/>
      <c r="AC130" s="100"/>
      <c r="AD130" s="100"/>
      <c r="AE130" s="48"/>
    </row>
    <row r="131" spans="23:31" ht="20.100000000000001" hidden="1" customHeight="1">
      <c r="W131" s="54" t="s">
        <v>28</v>
      </c>
      <c r="X131" s="55">
        <f>IF(D45="Sistema MiniSplit",X132,IF(D45="Paquete Sistema Central",X133,IF(D45="Sistema Fan &amp; Coil",X134,IF(D45="Sistema VRF (Flujo Variable Ref)",X135,IF(D45="Sin Climatización",X136,0)))))</f>
        <v>7000</v>
      </c>
      <c r="Y131" s="60"/>
      <c r="Z131" s="60"/>
      <c r="AA131" s="60"/>
      <c r="AB131" s="60"/>
      <c r="AC131" s="108"/>
      <c r="AD131" s="108"/>
      <c r="AE131" s="48"/>
    </row>
    <row r="132" spans="23:31" ht="20.100000000000001" hidden="1" customHeight="1">
      <c r="W132" s="56" t="s">
        <v>67</v>
      </c>
      <c r="X132" s="57">
        <f>+'Base de Datos'!C53</f>
        <v>7000</v>
      </c>
      <c r="Y132" s="48"/>
      <c r="Z132" s="48"/>
      <c r="AA132" s="48"/>
      <c r="AB132" s="48"/>
      <c r="AC132" s="100"/>
      <c r="AD132" s="100"/>
      <c r="AE132" s="48"/>
    </row>
    <row r="133" spans="23:31" ht="18" hidden="1" customHeight="1">
      <c r="W133" s="56" t="s">
        <v>68</v>
      </c>
      <c r="X133" s="57">
        <f>+'Base de Datos'!C54</f>
        <v>18000</v>
      </c>
      <c r="Y133" s="48"/>
      <c r="Z133" s="48"/>
      <c r="AA133" s="48"/>
      <c r="AB133" s="48"/>
      <c r="AC133" s="100"/>
      <c r="AD133" s="100"/>
      <c r="AE133" s="48"/>
    </row>
    <row r="134" spans="23:31" ht="18" hidden="1" customHeight="1">
      <c r="W134" s="74" t="s">
        <v>97</v>
      </c>
      <c r="X134" s="57">
        <f>+'Base de Datos'!C55</f>
        <v>20000</v>
      </c>
      <c r="Y134" s="48"/>
      <c r="Z134" s="48"/>
      <c r="AA134" s="48"/>
      <c r="AB134" s="48"/>
      <c r="AC134" s="100"/>
      <c r="AD134" s="100"/>
      <c r="AE134" s="48"/>
    </row>
    <row r="135" spans="23:31" ht="18" hidden="1" customHeight="1">
      <c r="W135" s="56" t="s">
        <v>69</v>
      </c>
      <c r="X135" s="57">
        <f>+'Base de Datos'!C56</f>
        <v>30000</v>
      </c>
      <c r="Y135" s="48"/>
      <c r="Z135" s="48"/>
      <c r="AA135" s="48"/>
      <c r="AB135" s="48"/>
      <c r="AC135" s="100"/>
      <c r="AD135" s="100"/>
      <c r="AE135" s="48"/>
    </row>
    <row r="136" spans="23:31" ht="18" hidden="1" customHeight="1">
      <c r="W136" s="59" t="s">
        <v>92</v>
      </c>
      <c r="X136" s="78">
        <v>0</v>
      </c>
      <c r="Y136" s="48"/>
      <c r="Z136" s="48"/>
      <c r="AA136" s="48"/>
      <c r="AB136" s="48"/>
      <c r="AC136" s="100"/>
      <c r="AD136" s="100"/>
      <c r="AE136" s="48"/>
    </row>
    <row r="137" spans="23:31" ht="18" hidden="1" customHeight="1">
      <c r="W137" s="54" t="s">
        <v>93</v>
      </c>
      <c r="X137" s="55" t="s">
        <v>113</v>
      </c>
      <c r="Y137" s="55" t="s">
        <v>114</v>
      </c>
      <c r="Z137" s="146" t="s">
        <v>123</v>
      </c>
      <c r="AA137" s="147"/>
      <c r="AB137" s="147"/>
      <c r="AC137" s="147"/>
      <c r="AD137" s="127"/>
      <c r="AE137" s="48"/>
    </row>
    <row r="138" spans="23:31" ht="18" hidden="1" customHeight="1">
      <c r="W138" s="76" t="s">
        <v>109</v>
      </c>
      <c r="X138" s="92">
        <f>+'Base de Datos'!C12</f>
        <v>3500</v>
      </c>
      <c r="Y138" s="92">
        <f>+'Base de Datos'!D12</f>
        <v>4000</v>
      </c>
      <c r="Z138" s="48"/>
      <c r="AA138" s="48"/>
      <c r="AB138" s="48"/>
      <c r="AC138" s="100"/>
      <c r="AD138" s="100"/>
      <c r="AE138" s="48"/>
    </row>
    <row r="139" spans="23:31" ht="18" hidden="1" customHeight="1">
      <c r="W139" s="102" t="s">
        <v>148</v>
      </c>
      <c r="X139" s="92"/>
      <c r="Y139" s="92"/>
      <c r="Z139" s="100"/>
      <c r="AA139" s="101"/>
      <c r="AB139" s="101"/>
      <c r="AC139" s="101"/>
      <c r="AD139" s="101"/>
      <c r="AE139" s="48"/>
    </row>
    <row r="140" spans="23:31" ht="18" hidden="1" customHeight="1">
      <c r="W140" s="76" t="s">
        <v>144</v>
      </c>
      <c r="X140" s="78">
        <f>IF(D25="Mampostería Trad 15cm + PSX 1Pulg",Z103,IF(D25="Mampostería Trad 15cm + PSX 2Pulg",Z104,0))</f>
        <v>0</v>
      </c>
      <c r="Y140" s="78">
        <f>IF(D25="Mampostería Trad 20cm + PSX 1Pulg",Z105,IF(D25="Mampostería Trad 20cm + PSX 2Pulg",Z106,0))</f>
        <v>0</v>
      </c>
      <c r="Z140" s="144" t="str">
        <f>+D25</f>
        <v>Mampostería Tradicional 15cm</v>
      </c>
      <c r="AA140" s="145"/>
      <c r="AB140" s="145"/>
      <c r="AC140" s="145"/>
      <c r="AD140" s="126"/>
      <c r="AE140" s="48"/>
    </row>
    <row r="141" spans="23:31" ht="18" hidden="1" customHeight="1">
      <c r="W141" s="76" t="s">
        <v>145</v>
      </c>
      <c r="X141" s="78">
        <f>IF(D36="Losa Aligerada Barroblock 15cm + PSX 1Pulg",Z109,IF(D36="Losa Aligerada Barroblock 15cm + PSX 2Pulg",Z110,IF(D36="Vigueta y Bovedilla 15cm + PSX 1Pulg",Z115,IF(D36="Vigueta y Bovedilla 15cm + PSX 2Pulg",Z116,0))))</f>
        <v>0</v>
      </c>
      <c r="Y141" s="78">
        <f>IF(D36="Losa Aligerada Barroblock 20cm + PSX 1Pulg",Z112,IF(D36="Losa Aligerada Barroblock 20cm + PSX 2Pulg",Z113,IF(D36="Vigueta y Bovedilla 20cm + PSX 1Pulg",Z118,IF(D36="Vigueta y Bovedilla 20cm + PSX 2Pulg",Z119,0))))</f>
        <v>0</v>
      </c>
      <c r="Z141" s="79" t="str">
        <f>+D36</f>
        <v>Vigueta y Bovedilla 15cm</v>
      </c>
      <c r="AA141" s="48"/>
      <c r="AB141" s="48"/>
      <c r="AC141" s="100"/>
      <c r="AD141" s="100"/>
      <c r="AE141" s="48"/>
    </row>
    <row r="142" spans="23:31" ht="18" hidden="1" customHeight="1">
      <c r="W142" s="91" t="s">
        <v>121</v>
      </c>
      <c r="X142" s="58">
        <f>+X138+X140+X141</f>
        <v>3500</v>
      </c>
      <c r="Y142" s="58">
        <f>+Y138+Y140+Y141</f>
        <v>4000</v>
      </c>
      <c r="Z142" s="48"/>
      <c r="AA142" s="48"/>
      <c r="AB142" s="48"/>
      <c r="AC142" s="100"/>
      <c r="AD142" s="100"/>
      <c r="AE142" s="48"/>
    </row>
    <row r="143" spans="23:31" ht="18" hidden="1" customHeight="1"/>
    <row r="144" spans="23:31" ht="18" hidden="1" customHeight="1">
      <c r="W144" s="139" t="s">
        <v>155</v>
      </c>
      <c r="X144" s="140"/>
      <c r="Y144" s="140"/>
      <c r="Z144" s="140"/>
      <c r="AA144" s="140"/>
      <c r="AB144" s="140"/>
      <c r="AC144" s="140"/>
      <c r="AD144" s="125"/>
    </row>
    <row r="145" spans="23:30" ht="18" hidden="1" customHeight="1">
      <c r="W145" s="140"/>
      <c r="X145" s="140"/>
      <c r="Y145" s="140"/>
      <c r="Z145" s="140"/>
      <c r="AA145" s="140"/>
      <c r="AB145" s="140"/>
      <c r="AC145" s="140"/>
      <c r="AD145" s="125"/>
    </row>
    <row r="146" spans="23:30" ht="18" hidden="1" customHeight="1">
      <c r="W146" s="140"/>
      <c r="X146" s="140"/>
      <c r="Y146" s="140"/>
      <c r="Z146" s="140"/>
      <c r="AA146" s="140"/>
      <c r="AB146" s="140"/>
      <c r="AC146" s="140"/>
      <c r="AD146" s="125"/>
    </row>
    <row r="147" spans="23:30" ht="18" hidden="1" customHeight="1">
      <c r="W147" s="140"/>
      <c r="X147" s="140"/>
      <c r="Y147" s="140"/>
      <c r="Z147" s="140"/>
      <c r="AA147" s="140"/>
      <c r="AB147" s="140"/>
      <c r="AC147" s="140"/>
      <c r="AD147" s="125"/>
    </row>
    <row r="148" spans="23:30" ht="18" hidden="1" customHeight="1">
      <c r="W148" s="140"/>
      <c r="X148" s="140"/>
      <c r="Y148" s="140"/>
      <c r="Z148" s="140"/>
      <c r="AA148" s="140"/>
      <c r="AB148" s="140"/>
      <c r="AC148" s="140"/>
      <c r="AD148" s="125"/>
    </row>
    <row r="149" spans="23:30" ht="18" hidden="1" customHeight="1"/>
    <row r="150" spans="23:30" ht="18" customHeight="1"/>
    <row r="151" spans="23:30" ht="18" customHeight="1"/>
    <row r="152" spans="23:30" ht="18" customHeight="1"/>
    <row r="153" spans="23:30" ht="18" customHeight="1"/>
    <row r="154" spans="23:30" ht="18" customHeight="1"/>
    <row r="155" spans="23:30" ht="18" customHeight="1"/>
    <row r="156" spans="23:30" ht="18" customHeight="1"/>
    <row r="157" spans="23:30" ht="18" customHeight="1"/>
    <row r="158" spans="23:30" ht="18" customHeight="1"/>
    <row r="159" spans="23:30" ht="18" customHeight="1"/>
    <row r="160" spans="23:3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</sheetData>
  <sheetProtection password="8EBA" sheet="1" objects="1" scenarios="1" selectLockedCells="1"/>
  <mergeCells count="74">
    <mergeCell ref="Z118:AA118"/>
    <mergeCell ref="Z119:AA119"/>
    <mergeCell ref="C3:L3"/>
    <mergeCell ref="Z99:AC99"/>
    <mergeCell ref="X82:AC82"/>
    <mergeCell ref="Z95:AC95"/>
    <mergeCell ref="Z96:AC96"/>
    <mergeCell ref="Z97:AC97"/>
    <mergeCell ref="Z98:AC98"/>
    <mergeCell ref="M53:Q53"/>
    <mergeCell ref="M54:Q54"/>
    <mergeCell ref="M55:Q55"/>
    <mergeCell ref="P10:S11"/>
    <mergeCell ref="D25:E25"/>
    <mergeCell ref="Q62:R62"/>
    <mergeCell ref="K49:N49"/>
    <mergeCell ref="P49:S49"/>
    <mergeCell ref="D32:E32"/>
    <mergeCell ref="Q24:R24"/>
    <mergeCell ref="D60:E60"/>
    <mergeCell ref="D45:E46"/>
    <mergeCell ref="D35:E35"/>
    <mergeCell ref="D36:E36"/>
    <mergeCell ref="G35:G36"/>
    <mergeCell ref="D40:E40"/>
    <mergeCell ref="I45:I46"/>
    <mergeCell ref="L51:M51"/>
    <mergeCell ref="L46:M46"/>
    <mergeCell ref="Q51:R51"/>
    <mergeCell ref="Q46:R46"/>
    <mergeCell ref="Q13:R13"/>
    <mergeCell ref="Q19:R19"/>
    <mergeCell ref="Q25:R25"/>
    <mergeCell ref="Q28:R28"/>
    <mergeCell ref="L45:M45"/>
    <mergeCell ref="L35:M35"/>
    <mergeCell ref="L36:M36"/>
    <mergeCell ref="Q35:R35"/>
    <mergeCell ref="L32:M32"/>
    <mergeCell ref="Q32:R32"/>
    <mergeCell ref="Q36:R36"/>
    <mergeCell ref="Q38:R38"/>
    <mergeCell ref="L38:M38"/>
    <mergeCell ref="Q45:R45"/>
    <mergeCell ref="L40:M40"/>
    <mergeCell ref="Q40:R40"/>
    <mergeCell ref="C4:L4"/>
    <mergeCell ref="L13:M13"/>
    <mergeCell ref="L19:M19"/>
    <mergeCell ref="L24:M24"/>
    <mergeCell ref="L28:M28"/>
    <mergeCell ref="D13:E13"/>
    <mergeCell ref="D19:E19"/>
    <mergeCell ref="D24:E24"/>
    <mergeCell ref="K10:N11"/>
    <mergeCell ref="L25:M25"/>
    <mergeCell ref="G24:G25"/>
    <mergeCell ref="D28:G28"/>
    <mergeCell ref="Z113:AA113"/>
    <mergeCell ref="W144:AC148"/>
    <mergeCell ref="Y102:AA102"/>
    <mergeCell ref="Z140:AC140"/>
    <mergeCell ref="Z137:AC137"/>
    <mergeCell ref="Z103:AA103"/>
    <mergeCell ref="Z104:AA104"/>
    <mergeCell ref="Z105:AA105"/>
    <mergeCell ref="Z106:AA106"/>
    <mergeCell ref="Z108:AA108"/>
    <mergeCell ref="Z109:AA109"/>
    <mergeCell ref="Z110:AA110"/>
    <mergeCell ref="Z111:AA111"/>
    <mergeCell ref="Z115:AA115"/>
    <mergeCell ref="Z112:AA112"/>
    <mergeCell ref="Z116:AA116"/>
  </mergeCells>
  <conditionalFormatting sqref="M53:Q53">
    <cfRule type="cellIs" dxfId="12" priority="16" operator="between">
      <formula>-0.000000000000001</formula>
      <formula>-9999999999999</formula>
    </cfRule>
    <cfRule type="cellIs" dxfId="11" priority="18" operator="between">
      <formula>0</formula>
      <formula>999999999999999</formula>
    </cfRule>
  </conditionalFormatting>
  <conditionalFormatting sqref="T54:T55">
    <cfRule type="cellIs" priority="17" operator="between">
      <formula>-9999999999999990</formula>
      <formula>-0.0000000001</formula>
    </cfRule>
  </conditionalFormatting>
  <conditionalFormatting sqref="E26 E48">
    <cfRule type="containsText" dxfId="10" priority="14" operator="containsText" text="Si">
      <formula>NOT(ISERROR(SEARCH("Si",E26)))</formula>
    </cfRule>
  </conditionalFormatting>
  <conditionalFormatting sqref="E47">
    <cfRule type="containsText" dxfId="9" priority="13" operator="containsText" text="Si">
      <formula>NOT(ISERROR(SEARCH("Si",E47)))</formula>
    </cfRule>
  </conditionalFormatting>
  <conditionalFormatting sqref="G47">
    <cfRule type="expression" dxfId="8" priority="11">
      <formula>$E$47="Si"</formula>
    </cfRule>
  </conditionalFormatting>
  <conditionalFormatting sqref="G48">
    <cfRule type="expression" dxfId="7" priority="10">
      <formula>$E$48="Si"</formula>
    </cfRule>
  </conditionalFormatting>
  <conditionalFormatting sqref="G26">
    <cfRule type="expression" dxfId="6" priority="9">
      <formula>$E$26="Si"</formula>
    </cfRule>
  </conditionalFormatting>
  <conditionalFormatting sqref="E14">
    <cfRule type="expression" dxfId="5" priority="8">
      <formula>$D$13="Otro Tipo"</formula>
    </cfRule>
  </conditionalFormatting>
  <conditionalFormatting sqref="E20">
    <cfRule type="expression" dxfId="4" priority="5">
      <formula>$D$19="Otro Tipo"</formula>
    </cfRule>
  </conditionalFormatting>
  <conditionalFormatting sqref="E41">
    <cfRule type="expression" dxfId="3" priority="4">
      <formula>$D$40="Otro Tipo"</formula>
    </cfRule>
  </conditionalFormatting>
  <conditionalFormatting sqref="G24:G25">
    <cfRule type="expression" dxfId="2" priority="3">
      <formula>$E$26="Si"</formula>
    </cfRule>
  </conditionalFormatting>
  <conditionalFormatting sqref="G45">
    <cfRule type="expression" dxfId="1" priority="2">
      <formula>$E$47="Si"</formula>
    </cfRule>
  </conditionalFormatting>
  <conditionalFormatting sqref="G46">
    <cfRule type="expression" dxfId="0" priority="1">
      <formula>$E$48="Si"</formula>
    </cfRule>
  </conditionalFormatting>
  <dataValidations count="14">
    <dataValidation type="whole" allowBlank="1" showInputMessage="1" showErrorMessage="1" errorTitle="Nota:" error="Min = 0, Max = m2 Const" sqref="G10">
      <formula1>0</formula1>
      <formula2>G9</formula2>
    </dataValidation>
    <dataValidation type="list" allowBlank="1" showInputMessage="1" showErrorMessage="1" sqref="D36:E36">
      <formula1>$W$108:$W$119</formula1>
    </dataValidation>
    <dataValidation type="list" allowBlank="1" showInputMessage="1" showErrorMessage="1" sqref="D35:E35">
      <formula1>$W$121:$W$125</formula1>
    </dataValidation>
    <dataValidation type="list" allowBlank="1" showInputMessage="1" showErrorMessage="1" sqref="D40:E40">
      <formula1>$W$127:$W$130</formula1>
    </dataValidation>
    <dataValidation type="list" allowBlank="1" showInputMessage="1" showErrorMessage="1" sqref="D45:E46">
      <formula1>$W$132:$W$136</formula1>
    </dataValidation>
    <dataValidation type="list" allowBlank="1" showInputMessage="1" showErrorMessage="1" sqref="D24:E24">
      <formula1>$W$96:$W$99</formula1>
    </dataValidation>
    <dataValidation type="list" allowBlank="1" showInputMessage="1" showErrorMessage="1" sqref="D25:E25">
      <formula1>$W$101:$W$106</formula1>
    </dataValidation>
    <dataValidation type="list" allowBlank="1" showInputMessage="1" showErrorMessage="1" errorTitle="Seleccionar" promptTitle="Seleccionar" sqref="D19">
      <formula1>$W$91:$W$94</formula1>
    </dataValidation>
    <dataValidation type="list" allowBlank="1" showInputMessage="1" showErrorMessage="1" sqref="E47:E48 E26">
      <formula1>"Si, No"</formula1>
    </dataValidation>
    <dataValidation type="list" allowBlank="1" showInputMessage="1" showErrorMessage="1" sqref="D28">
      <formula1>$W$138:$W$139</formula1>
    </dataValidation>
    <dataValidation type="list" allowBlank="1" showInputMessage="1" showErrorMessage="1" prompt="Selec $/m2" sqref="D13:E13">
      <formula1>$W$84:$W$89</formula1>
    </dataValidation>
    <dataValidation type="list" allowBlank="1" showInputMessage="1" showErrorMessage="1" sqref="D32:E32">
      <formula1>"Losa Aligerada Barroblock 15cm, Losa Aligerada Barroblock 20cm, Vigueta y Bovedilla 15cm, Vigueta y Bovedilla 20cm"</formula1>
    </dataValidation>
    <dataValidation type="whole" allowBlank="1" showInputMessage="1" showErrorMessage="1" error="Min = 1" sqref="G8:G9">
      <formula1>1</formula1>
      <formula2>999999</formula2>
    </dataValidation>
    <dataValidation type="whole" allowBlank="1" showInputMessage="1" showErrorMessage="1" error="Min = 0" sqref="G47:G48 E20 G26 E41 E14">
      <formula1>0</formula1>
      <formula2>9999999999</formula2>
    </dataValidation>
  </dataValidations>
  <printOptions horizontalCentered="1"/>
  <pageMargins left="0.39370078740157483" right="0.39370078740157483" top="0.55118110236220474" bottom="0.62992125984251968" header="0.31496062992125984" footer="0.43307086614173229"/>
  <pageSetup scale="59" orientation="portrait" r:id="rId1"/>
  <ignoredErrors>
    <ignoredError sqref="I19 I25 I28" unlockedFormula="1"/>
    <ignoredError sqref="M53:M55 L51 Q51" evalError="1"/>
  </ignoredErrors>
  <drawing r:id="rId2"/>
  <legacyDrawing r:id="rId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50"/>
  <sheetViews>
    <sheetView showGridLines="0" showRowColHeaders="0" topLeftCell="A34" zoomScale="90" zoomScaleNormal="90" workbookViewId="0">
      <selection activeCell="D10" sqref="D10"/>
    </sheetView>
  </sheetViews>
  <sheetFormatPr baseColWidth="10" defaultRowHeight="15"/>
  <cols>
    <col min="1" max="1" width="2.75" style="32" customWidth="1"/>
    <col min="2" max="2" width="44.75" style="32" customWidth="1"/>
    <col min="3" max="8" width="14.625" style="32" customWidth="1"/>
    <col min="9" max="9" width="2.375" style="32" customWidth="1"/>
    <col min="10" max="16384" width="11" style="32"/>
  </cols>
  <sheetData>
    <row r="1" spans="2:8" ht="11.25" customHeight="1">
      <c r="B1" s="51"/>
      <c r="C1" s="50"/>
      <c r="D1" s="50"/>
      <c r="E1" s="50"/>
      <c r="F1" s="50"/>
    </row>
    <row r="2" spans="2:8" ht="27.75" customHeight="1">
      <c r="B2" s="93" t="s">
        <v>128</v>
      </c>
      <c r="C2" s="94"/>
      <c r="D2" s="94"/>
      <c r="E2" s="94"/>
      <c r="F2" s="94"/>
      <c r="G2" s="94"/>
      <c r="H2" s="94"/>
    </row>
    <row r="3" spans="2:8" ht="5.25" customHeight="1">
      <c r="B3" s="51"/>
      <c r="C3" s="50"/>
      <c r="D3" s="50"/>
      <c r="E3" s="50"/>
      <c r="F3" s="50"/>
    </row>
    <row r="4" spans="2:8" ht="20.100000000000001" customHeight="1">
      <c r="B4" s="113"/>
      <c r="C4" s="219" t="s">
        <v>99</v>
      </c>
      <c r="D4" s="219"/>
      <c r="E4" s="219"/>
      <c r="F4" s="219"/>
      <c r="G4" s="219"/>
      <c r="H4" s="219"/>
    </row>
    <row r="5" spans="2:8" ht="22.5" customHeight="1">
      <c r="B5" s="217" t="s">
        <v>25</v>
      </c>
      <c r="C5" s="220" t="s">
        <v>101</v>
      </c>
      <c r="D5" s="221"/>
      <c r="E5" s="221"/>
      <c r="F5" s="221"/>
      <c r="G5" s="221"/>
      <c r="H5" s="222"/>
    </row>
    <row r="6" spans="2:8" s="77" customFormat="1" ht="14.25" customHeight="1">
      <c r="B6" s="218"/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</row>
    <row r="7" spans="2:8" ht="18.95" customHeight="1">
      <c r="B7" s="56" t="s">
        <v>29</v>
      </c>
      <c r="C7" s="89">
        <v>500</v>
      </c>
      <c r="D7" s="89">
        <v>750</v>
      </c>
      <c r="E7" s="89">
        <v>1000</v>
      </c>
      <c r="F7" s="89">
        <v>1250</v>
      </c>
      <c r="G7" s="89">
        <v>1500</v>
      </c>
      <c r="H7" s="89">
        <v>1750</v>
      </c>
    </row>
    <row r="8" spans="2:8" ht="18.95" customHeight="1">
      <c r="B8" s="56" t="s">
        <v>19</v>
      </c>
      <c r="C8" s="89">
        <v>2000</v>
      </c>
      <c r="D8" s="89">
        <v>2250</v>
      </c>
      <c r="E8" s="89">
        <v>2500</v>
      </c>
      <c r="F8" s="89">
        <v>3000</v>
      </c>
      <c r="G8" s="89">
        <v>3250</v>
      </c>
      <c r="H8" s="89">
        <v>3500</v>
      </c>
    </row>
    <row r="9" spans="2:8" ht="18.95" customHeight="1">
      <c r="B9" s="56" t="s">
        <v>20</v>
      </c>
      <c r="C9" s="89">
        <v>4000</v>
      </c>
      <c r="D9" s="89">
        <v>4500</v>
      </c>
      <c r="E9" s="89">
        <v>5000</v>
      </c>
      <c r="F9" s="89">
        <v>5500</v>
      </c>
      <c r="G9" s="89">
        <v>6000</v>
      </c>
      <c r="H9" s="89">
        <v>6500</v>
      </c>
    </row>
    <row r="10" spans="2:8" ht="18.95" customHeight="1">
      <c r="B10" s="56" t="s">
        <v>21</v>
      </c>
      <c r="C10" s="89">
        <v>7000</v>
      </c>
      <c r="D10" s="89">
        <v>8000</v>
      </c>
      <c r="E10" s="89">
        <v>9000</v>
      </c>
      <c r="F10" s="89">
        <v>10000</v>
      </c>
      <c r="G10" s="89">
        <v>11000</v>
      </c>
      <c r="H10" s="89">
        <v>12000</v>
      </c>
    </row>
    <row r="11" spans="2:8" ht="33.75" customHeight="1">
      <c r="B11" s="54" t="s">
        <v>115</v>
      </c>
      <c r="C11" s="90" t="s">
        <v>116</v>
      </c>
      <c r="D11" s="90" t="s">
        <v>117</v>
      </c>
      <c r="E11" s="197" t="s">
        <v>89</v>
      </c>
      <c r="F11" s="198"/>
      <c r="G11" s="198"/>
      <c r="H11" s="199"/>
    </row>
    <row r="12" spans="2:8" ht="81.75" customHeight="1">
      <c r="B12" s="83" t="s">
        <v>124</v>
      </c>
      <c r="C12" s="89">
        <v>3500</v>
      </c>
      <c r="D12" s="89">
        <v>4000</v>
      </c>
      <c r="E12" s="210" t="s">
        <v>160</v>
      </c>
      <c r="F12" s="211"/>
      <c r="G12" s="211"/>
      <c r="H12" s="212"/>
    </row>
    <row r="13" spans="2:8" ht="24" customHeight="1">
      <c r="B13" s="54" t="s">
        <v>51</v>
      </c>
      <c r="C13" s="85" t="s">
        <v>100</v>
      </c>
      <c r="D13" s="86"/>
      <c r="E13" s="197"/>
      <c r="F13" s="198"/>
      <c r="G13" s="198"/>
      <c r="H13" s="199"/>
    </row>
    <row r="14" spans="2:8" ht="18.95" customHeight="1">
      <c r="B14" s="61" t="s">
        <v>83</v>
      </c>
      <c r="C14" s="89">
        <v>400</v>
      </c>
      <c r="D14" s="200"/>
      <c r="E14" s="203" t="s">
        <v>125</v>
      </c>
      <c r="F14" s="204"/>
      <c r="G14" s="204"/>
      <c r="H14" s="205"/>
    </row>
    <row r="15" spans="2:8" ht="18.95" customHeight="1">
      <c r="B15" s="61" t="s">
        <v>84</v>
      </c>
      <c r="C15" s="89">
        <v>400</v>
      </c>
      <c r="D15" s="201"/>
      <c r="E15" s="207"/>
      <c r="F15" s="208"/>
      <c r="G15" s="208"/>
      <c r="H15" s="209"/>
    </row>
    <row r="16" spans="2:8" ht="18.95" customHeight="1">
      <c r="B16" s="61" t="s">
        <v>85</v>
      </c>
      <c r="C16" s="89">
        <v>1250</v>
      </c>
      <c r="D16" s="202"/>
      <c r="E16" s="214"/>
      <c r="F16" s="215"/>
      <c r="G16" s="215"/>
      <c r="H16" s="216"/>
    </row>
    <row r="17" spans="2:8" ht="38.25" customHeight="1">
      <c r="B17" s="54" t="s">
        <v>81</v>
      </c>
      <c r="C17" s="87" t="s">
        <v>146</v>
      </c>
      <c r="D17" s="87" t="s">
        <v>147</v>
      </c>
      <c r="E17" s="197"/>
      <c r="F17" s="198"/>
      <c r="G17" s="198"/>
      <c r="H17" s="199"/>
    </row>
    <row r="18" spans="2:8" ht="18.95" customHeight="1">
      <c r="B18" s="56" t="s">
        <v>48</v>
      </c>
      <c r="C18" s="89">
        <v>532</v>
      </c>
      <c r="D18" s="89">
        <v>583</v>
      </c>
      <c r="E18" s="203" t="s">
        <v>126</v>
      </c>
      <c r="F18" s="223"/>
      <c r="G18" s="223"/>
      <c r="H18" s="224"/>
    </row>
    <row r="19" spans="2:8" ht="18.95" customHeight="1">
      <c r="B19" s="56" t="s">
        <v>49</v>
      </c>
      <c r="C19" s="89">
        <v>612</v>
      </c>
      <c r="D19" s="89">
        <v>676</v>
      </c>
      <c r="E19" s="225"/>
      <c r="F19" s="226"/>
      <c r="G19" s="226"/>
      <c r="H19" s="227"/>
    </row>
    <row r="20" spans="2:8" ht="18.95" customHeight="1">
      <c r="B20" s="56" t="s">
        <v>54</v>
      </c>
      <c r="C20" s="89">
        <v>490</v>
      </c>
      <c r="D20" s="89">
        <v>520</v>
      </c>
      <c r="E20" s="225"/>
      <c r="F20" s="226"/>
      <c r="G20" s="226"/>
      <c r="H20" s="227"/>
    </row>
    <row r="21" spans="2:8" ht="18.95" customHeight="1">
      <c r="B21" s="56" t="s">
        <v>55</v>
      </c>
      <c r="C21" s="89">
        <v>595</v>
      </c>
      <c r="D21" s="89">
        <v>619</v>
      </c>
      <c r="E21" s="228"/>
      <c r="F21" s="229"/>
      <c r="G21" s="229"/>
      <c r="H21" s="230"/>
    </row>
    <row r="22" spans="2:8" ht="23.25" customHeight="1">
      <c r="B22" s="54" t="s">
        <v>52</v>
      </c>
      <c r="C22" s="85" t="s">
        <v>102</v>
      </c>
      <c r="D22" s="88"/>
      <c r="E22" s="197"/>
      <c r="F22" s="198"/>
      <c r="G22" s="198"/>
      <c r="H22" s="199"/>
    </row>
    <row r="23" spans="2:8" ht="18.95" customHeight="1">
      <c r="B23" s="56" t="s">
        <v>50</v>
      </c>
      <c r="C23" s="89">
        <v>365</v>
      </c>
      <c r="D23" s="200"/>
      <c r="E23" s="203" t="s">
        <v>136</v>
      </c>
      <c r="F23" s="204"/>
      <c r="G23" s="204"/>
      <c r="H23" s="205"/>
    </row>
    <row r="24" spans="2:8" ht="18.95" customHeight="1">
      <c r="B24" s="56" t="s">
        <v>53</v>
      </c>
      <c r="C24" s="89">
        <v>420</v>
      </c>
      <c r="D24" s="201"/>
      <c r="E24" s="207"/>
      <c r="F24" s="208"/>
      <c r="G24" s="208"/>
      <c r="H24" s="209"/>
    </row>
    <row r="25" spans="2:8" ht="18.95" customHeight="1">
      <c r="B25" s="76" t="s">
        <v>106</v>
      </c>
      <c r="C25" s="95">
        <f>+C23+C58</f>
        <v>495</v>
      </c>
      <c r="D25" s="201"/>
      <c r="E25" s="207"/>
      <c r="F25" s="208"/>
      <c r="G25" s="208"/>
      <c r="H25" s="209"/>
    </row>
    <row r="26" spans="2:8" ht="18.95" customHeight="1">
      <c r="B26" s="76" t="s">
        <v>107</v>
      </c>
      <c r="C26" s="95">
        <f>+C23+C59</f>
        <v>565</v>
      </c>
      <c r="D26" s="201"/>
      <c r="E26" s="207"/>
      <c r="F26" s="208"/>
      <c r="G26" s="208"/>
      <c r="H26" s="209"/>
    </row>
    <row r="27" spans="2:8" ht="18.95" customHeight="1">
      <c r="B27" s="76" t="s">
        <v>108</v>
      </c>
      <c r="C27" s="95">
        <f>+C24+C58</f>
        <v>550</v>
      </c>
      <c r="D27" s="201"/>
      <c r="E27" s="207"/>
      <c r="F27" s="208"/>
      <c r="G27" s="208"/>
      <c r="H27" s="209"/>
    </row>
    <row r="28" spans="2:8" ht="18.95" customHeight="1">
      <c r="B28" s="76" t="s">
        <v>122</v>
      </c>
      <c r="C28" s="95">
        <f>+C24+C59</f>
        <v>620</v>
      </c>
      <c r="D28" s="202"/>
      <c r="E28" s="214"/>
      <c r="F28" s="215"/>
      <c r="G28" s="215"/>
      <c r="H28" s="216"/>
    </row>
    <row r="29" spans="2:8" ht="24" customHeight="1">
      <c r="B29" s="54" t="s">
        <v>80</v>
      </c>
      <c r="C29" s="85" t="s">
        <v>103</v>
      </c>
      <c r="D29" s="88"/>
      <c r="E29" s="197"/>
      <c r="F29" s="198"/>
      <c r="G29" s="198"/>
      <c r="H29" s="199"/>
    </row>
    <row r="30" spans="2:8" ht="18.95" customHeight="1">
      <c r="B30" s="56" t="s">
        <v>56</v>
      </c>
      <c r="C30" s="89">
        <v>650</v>
      </c>
      <c r="D30" s="200"/>
      <c r="E30" s="231" t="s">
        <v>153</v>
      </c>
      <c r="F30" s="232"/>
      <c r="G30" s="232"/>
      <c r="H30" s="233"/>
    </row>
    <row r="31" spans="2:8" ht="18.95" customHeight="1">
      <c r="B31" s="76" t="s">
        <v>137</v>
      </c>
      <c r="C31" s="78">
        <f>+C30+D58</f>
        <v>880</v>
      </c>
      <c r="D31" s="201"/>
      <c r="E31" s="234"/>
      <c r="F31" s="235"/>
      <c r="G31" s="235"/>
      <c r="H31" s="236"/>
    </row>
    <row r="32" spans="2:8" ht="18.95" customHeight="1">
      <c r="B32" s="76" t="s">
        <v>138</v>
      </c>
      <c r="C32" s="78">
        <f>+C30+D59</f>
        <v>950</v>
      </c>
      <c r="D32" s="201"/>
      <c r="E32" s="234"/>
      <c r="F32" s="235"/>
      <c r="G32" s="235"/>
      <c r="H32" s="236"/>
    </row>
    <row r="33" spans="2:8" ht="18.95" customHeight="1">
      <c r="B33" s="56" t="s">
        <v>57</v>
      </c>
      <c r="C33" s="89">
        <v>800</v>
      </c>
      <c r="D33" s="201"/>
      <c r="E33" s="234"/>
      <c r="F33" s="235"/>
      <c r="G33" s="235"/>
      <c r="H33" s="236"/>
    </row>
    <row r="34" spans="2:8" ht="18.95" customHeight="1">
      <c r="B34" s="76" t="s">
        <v>139</v>
      </c>
      <c r="C34" s="78">
        <f>+C33+D58</f>
        <v>1030</v>
      </c>
      <c r="D34" s="201"/>
      <c r="E34" s="234"/>
      <c r="F34" s="235"/>
      <c r="G34" s="235"/>
      <c r="H34" s="236"/>
    </row>
    <row r="35" spans="2:8" ht="18.95" customHeight="1">
      <c r="B35" s="76" t="s">
        <v>140</v>
      </c>
      <c r="C35" s="78">
        <f>+C33+D59</f>
        <v>1100</v>
      </c>
      <c r="D35" s="201"/>
      <c r="E35" s="234"/>
      <c r="F35" s="235"/>
      <c r="G35" s="235"/>
      <c r="H35" s="236"/>
    </row>
    <row r="36" spans="2:8" ht="18.95" customHeight="1">
      <c r="B36" s="56" t="s">
        <v>58</v>
      </c>
      <c r="C36" s="89">
        <v>550</v>
      </c>
      <c r="D36" s="201"/>
      <c r="E36" s="234"/>
      <c r="F36" s="235"/>
      <c r="G36" s="235"/>
      <c r="H36" s="236"/>
    </row>
    <row r="37" spans="2:8" ht="18.95" customHeight="1">
      <c r="B37" s="103" t="s">
        <v>149</v>
      </c>
      <c r="C37" s="78">
        <f>+C36+D58</f>
        <v>780</v>
      </c>
      <c r="D37" s="201"/>
      <c r="E37" s="234"/>
      <c r="F37" s="235"/>
      <c r="G37" s="235"/>
      <c r="H37" s="236"/>
    </row>
    <row r="38" spans="2:8" ht="18.95" customHeight="1">
      <c r="B38" s="103" t="s">
        <v>150</v>
      </c>
      <c r="C38" s="78">
        <f>+C36+D59</f>
        <v>850</v>
      </c>
      <c r="D38" s="201"/>
      <c r="E38" s="234"/>
      <c r="F38" s="235"/>
      <c r="G38" s="235"/>
      <c r="H38" s="236"/>
    </row>
    <row r="39" spans="2:8" ht="18.95" customHeight="1">
      <c r="B39" s="56" t="s">
        <v>59</v>
      </c>
      <c r="C39" s="89">
        <v>650</v>
      </c>
      <c r="D39" s="201"/>
      <c r="E39" s="234"/>
      <c r="F39" s="235"/>
      <c r="G39" s="235"/>
      <c r="H39" s="236"/>
    </row>
    <row r="40" spans="2:8" ht="18.95" customHeight="1">
      <c r="B40" s="103" t="s">
        <v>151</v>
      </c>
      <c r="C40" s="78">
        <f>+C39+D58</f>
        <v>880</v>
      </c>
      <c r="D40" s="201"/>
      <c r="E40" s="234"/>
      <c r="F40" s="235"/>
      <c r="G40" s="235"/>
      <c r="H40" s="236"/>
    </row>
    <row r="41" spans="2:8" ht="18.95" customHeight="1">
      <c r="B41" s="103" t="s">
        <v>152</v>
      </c>
      <c r="C41" s="78">
        <f>+C39+D59</f>
        <v>950</v>
      </c>
      <c r="D41" s="202"/>
      <c r="E41" s="237"/>
      <c r="F41" s="238"/>
      <c r="G41" s="238"/>
      <c r="H41" s="239"/>
    </row>
    <row r="42" spans="2:8" ht="22.5" customHeight="1">
      <c r="B42" s="54" t="s">
        <v>79</v>
      </c>
      <c r="C42" s="85" t="s">
        <v>103</v>
      </c>
      <c r="D42" s="86"/>
      <c r="E42" s="197"/>
      <c r="F42" s="198"/>
      <c r="G42" s="198"/>
      <c r="H42" s="199"/>
    </row>
    <row r="43" spans="2:8" ht="18.95" customHeight="1">
      <c r="B43" s="135" t="s">
        <v>166</v>
      </c>
      <c r="C43" s="89">
        <v>525</v>
      </c>
      <c r="D43" s="200"/>
      <c r="E43" s="203" t="s">
        <v>127</v>
      </c>
      <c r="F43" s="204"/>
      <c r="G43" s="204"/>
      <c r="H43" s="205"/>
    </row>
    <row r="44" spans="2:8" ht="18.95" customHeight="1">
      <c r="B44" s="135" t="s">
        <v>60</v>
      </c>
      <c r="C44" s="89">
        <v>675</v>
      </c>
      <c r="D44" s="201"/>
      <c r="E44" s="213"/>
      <c r="F44" s="208"/>
      <c r="G44" s="208"/>
      <c r="H44" s="209"/>
    </row>
    <row r="45" spans="2:8" ht="18.95" customHeight="1">
      <c r="B45" s="56" t="s">
        <v>61</v>
      </c>
      <c r="C45" s="89">
        <v>745</v>
      </c>
      <c r="D45" s="201"/>
      <c r="E45" s="207"/>
      <c r="F45" s="208"/>
      <c r="G45" s="208"/>
      <c r="H45" s="209"/>
    </row>
    <row r="46" spans="2:8" ht="18.95" customHeight="1">
      <c r="B46" s="56" t="s">
        <v>62</v>
      </c>
      <c r="C46" s="89">
        <v>835</v>
      </c>
      <c r="D46" s="201"/>
      <c r="E46" s="207"/>
      <c r="F46" s="208"/>
      <c r="G46" s="208"/>
      <c r="H46" s="209"/>
    </row>
    <row r="47" spans="2:8" ht="18.95" customHeight="1">
      <c r="B47" s="56" t="s">
        <v>63</v>
      </c>
      <c r="C47" s="89">
        <v>975</v>
      </c>
      <c r="D47" s="202"/>
      <c r="E47" s="214"/>
      <c r="F47" s="215"/>
      <c r="G47" s="215"/>
      <c r="H47" s="216"/>
    </row>
    <row r="48" spans="2:8" ht="24.75" customHeight="1">
      <c r="B48" s="54" t="s">
        <v>27</v>
      </c>
      <c r="C48" s="85" t="s">
        <v>104</v>
      </c>
      <c r="D48" s="86"/>
      <c r="E48" s="197"/>
      <c r="F48" s="198"/>
      <c r="G48" s="198"/>
      <c r="H48" s="199"/>
    </row>
    <row r="49" spans="2:8" ht="18.95" customHeight="1">
      <c r="B49" s="56" t="s">
        <v>64</v>
      </c>
      <c r="C49" s="89">
        <v>2000</v>
      </c>
      <c r="D49" s="200"/>
      <c r="E49" s="206"/>
      <c r="F49" s="204"/>
      <c r="G49" s="204"/>
      <c r="H49" s="205"/>
    </row>
    <row r="50" spans="2:8" ht="18.95" customHeight="1">
      <c r="B50" s="56" t="s">
        <v>65</v>
      </c>
      <c r="C50" s="89">
        <v>4000</v>
      </c>
      <c r="D50" s="201"/>
      <c r="E50" s="207"/>
      <c r="F50" s="208"/>
      <c r="G50" s="208"/>
      <c r="H50" s="209"/>
    </row>
    <row r="51" spans="2:8" ht="18.95" customHeight="1">
      <c r="B51" s="56" t="s">
        <v>66</v>
      </c>
      <c r="C51" s="89">
        <v>6500</v>
      </c>
      <c r="D51" s="202"/>
      <c r="E51" s="214"/>
      <c r="F51" s="215"/>
      <c r="G51" s="215"/>
      <c r="H51" s="216"/>
    </row>
    <row r="52" spans="2:8" ht="20.100000000000001" customHeight="1">
      <c r="B52" s="54" t="s">
        <v>28</v>
      </c>
      <c r="C52" s="85" t="s">
        <v>105</v>
      </c>
      <c r="D52" s="86"/>
      <c r="E52" s="197"/>
      <c r="F52" s="198"/>
      <c r="G52" s="198"/>
      <c r="H52" s="199"/>
    </row>
    <row r="53" spans="2:8" ht="18.95" customHeight="1">
      <c r="B53" s="56" t="s">
        <v>67</v>
      </c>
      <c r="C53" s="89">
        <v>7000</v>
      </c>
      <c r="D53" s="200"/>
      <c r="E53" s="206"/>
      <c r="F53" s="204"/>
      <c r="G53" s="204"/>
      <c r="H53" s="205"/>
    </row>
    <row r="54" spans="2:8" ht="18.95" customHeight="1">
      <c r="B54" s="56" t="s">
        <v>68</v>
      </c>
      <c r="C54" s="89">
        <v>18000</v>
      </c>
      <c r="D54" s="201"/>
      <c r="E54" s="207"/>
      <c r="F54" s="208"/>
      <c r="G54" s="208"/>
      <c r="H54" s="209"/>
    </row>
    <row r="55" spans="2:8" ht="18.95" customHeight="1">
      <c r="B55" s="74" t="s">
        <v>97</v>
      </c>
      <c r="C55" s="89">
        <v>20000</v>
      </c>
      <c r="D55" s="201"/>
      <c r="E55" s="207"/>
      <c r="F55" s="208"/>
      <c r="G55" s="208"/>
      <c r="H55" s="209"/>
    </row>
    <row r="56" spans="2:8" ht="18.95" customHeight="1">
      <c r="B56" s="56" t="s">
        <v>69</v>
      </c>
      <c r="C56" s="89">
        <v>30000</v>
      </c>
      <c r="D56" s="202"/>
      <c r="E56" s="207"/>
      <c r="F56" s="208"/>
      <c r="G56" s="208"/>
      <c r="H56" s="209"/>
    </row>
    <row r="57" spans="2:8" ht="21" customHeight="1">
      <c r="B57" s="54" t="s">
        <v>131</v>
      </c>
      <c r="C57" s="85" t="s">
        <v>134</v>
      </c>
      <c r="D57" s="85" t="s">
        <v>141</v>
      </c>
      <c r="E57" s="197"/>
      <c r="F57" s="198"/>
      <c r="G57" s="198"/>
      <c r="H57" s="199"/>
    </row>
    <row r="58" spans="2:8" ht="18" customHeight="1">
      <c r="B58" s="76" t="s">
        <v>129</v>
      </c>
      <c r="C58" s="117">
        <v>130</v>
      </c>
      <c r="D58" s="117">
        <v>230</v>
      </c>
      <c r="E58" s="203" t="s">
        <v>135</v>
      </c>
      <c r="F58" s="204"/>
      <c r="G58" s="204"/>
      <c r="H58" s="205"/>
    </row>
    <row r="59" spans="2:8" ht="18" customHeight="1">
      <c r="B59" s="76" t="s">
        <v>130</v>
      </c>
      <c r="C59" s="117">
        <v>200</v>
      </c>
      <c r="D59" s="117">
        <v>300</v>
      </c>
      <c r="E59" s="203" t="s">
        <v>135</v>
      </c>
      <c r="F59" s="204"/>
      <c r="G59" s="204"/>
      <c r="H59" s="205"/>
    </row>
    <row r="60" spans="2:8" ht="15" customHeight="1">
      <c r="B60" s="194" t="s">
        <v>89</v>
      </c>
      <c r="C60" s="195"/>
      <c r="D60" s="195"/>
      <c r="E60" s="195"/>
      <c r="F60" s="195"/>
      <c r="G60" s="195"/>
      <c r="H60" s="196"/>
    </row>
    <row r="61" spans="2:8" ht="14.25" customHeight="1">
      <c r="B61" s="114" t="s">
        <v>111</v>
      </c>
      <c r="C61" s="115"/>
      <c r="D61" s="115"/>
      <c r="E61" s="115"/>
      <c r="F61" s="115"/>
      <c r="G61" s="115"/>
      <c r="H61" s="116" t="s">
        <v>156</v>
      </c>
    </row>
    <row r="62" spans="2:8" ht="9" customHeight="1"/>
    <row r="63" spans="2:8" ht="18" customHeight="1"/>
    <row r="64" spans="2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sheetProtection password="C779" sheet="1" objects="1" scenarios="1" selectLockedCells="1"/>
  <mergeCells count="29">
    <mergeCell ref="B5:B6"/>
    <mergeCell ref="D49:D51"/>
    <mergeCell ref="D53:D56"/>
    <mergeCell ref="C4:H4"/>
    <mergeCell ref="E17:H17"/>
    <mergeCell ref="E13:H13"/>
    <mergeCell ref="E29:H29"/>
    <mergeCell ref="E42:H42"/>
    <mergeCell ref="C5:H5"/>
    <mergeCell ref="E14:H16"/>
    <mergeCell ref="E18:H21"/>
    <mergeCell ref="E23:H28"/>
    <mergeCell ref="E22:H22"/>
    <mergeCell ref="D30:D41"/>
    <mergeCell ref="E30:H41"/>
    <mergeCell ref="E11:H11"/>
    <mergeCell ref="E12:H12"/>
    <mergeCell ref="D14:D16"/>
    <mergeCell ref="D23:D28"/>
    <mergeCell ref="E52:H52"/>
    <mergeCell ref="E43:H47"/>
    <mergeCell ref="E49:H51"/>
    <mergeCell ref="B60:H60"/>
    <mergeCell ref="E48:H48"/>
    <mergeCell ref="D43:D47"/>
    <mergeCell ref="E59:H59"/>
    <mergeCell ref="E58:H58"/>
    <mergeCell ref="E57:H57"/>
    <mergeCell ref="E53:H56"/>
  </mergeCells>
  <printOptions horizontalCentered="1"/>
  <pageMargins left="0.55118110236220474" right="0.59055118110236227" top="0.46" bottom="0.56999999999999995" header="0.31496062992125984" footer="0.44"/>
  <pageSetup scale="55" orientation="portrait" r:id="rId1"/>
  <ignoredErrors>
    <ignoredError sqref="C37:C41" unlockedFormula="1"/>
  </ignoredErrors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49"/>
  <sheetViews>
    <sheetView zoomScaleNormal="100" workbookViewId="0">
      <selection activeCell="E23" sqref="E23:H28"/>
    </sheetView>
  </sheetViews>
  <sheetFormatPr baseColWidth="10" defaultRowHeight="15"/>
  <cols>
    <col min="1" max="1" width="2.75" style="32" customWidth="1"/>
    <col min="2" max="2" width="44.75" style="32" customWidth="1"/>
    <col min="3" max="8" width="14.625" style="32" customWidth="1"/>
    <col min="9" max="9" width="2.375" style="32" customWidth="1"/>
    <col min="10" max="16384" width="11" style="32"/>
  </cols>
  <sheetData>
    <row r="1" spans="2:8" ht="11.25" customHeight="1">
      <c r="B1" s="51"/>
      <c r="C1" s="50"/>
      <c r="D1" s="50"/>
      <c r="E1" s="50"/>
      <c r="F1" s="50"/>
    </row>
    <row r="2" spans="2:8" ht="27.75" customHeight="1">
      <c r="B2" s="93" t="s">
        <v>128</v>
      </c>
      <c r="C2" s="94"/>
      <c r="D2" s="94"/>
      <c r="E2" s="94"/>
      <c r="F2" s="94"/>
      <c r="G2" s="94"/>
      <c r="H2" s="94"/>
    </row>
    <row r="3" spans="2:8" ht="5.25" customHeight="1">
      <c r="B3" s="51"/>
      <c r="C3" s="50"/>
      <c r="D3" s="50"/>
      <c r="E3" s="50"/>
      <c r="F3" s="50"/>
    </row>
    <row r="4" spans="2:8" ht="20.100000000000001" customHeight="1">
      <c r="B4" s="113"/>
      <c r="C4" s="219" t="s">
        <v>99</v>
      </c>
      <c r="D4" s="219"/>
      <c r="E4" s="219"/>
      <c r="F4" s="219"/>
      <c r="G4" s="219"/>
      <c r="H4" s="219"/>
    </row>
    <row r="5" spans="2:8" ht="22.5" customHeight="1">
      <c r="B5" s="217" t="s">
        <v>25</v>
      </c>
      <c r="C5" s="220" t="s">
        <v>101</v>
      </c>
      <c r="D5" s="221"/>
      <c r="E5" s="221"/>
      <c r="F5" s="221"/>
      <c r="G5" s="221"/>
      <c r="H5" s="222"/>
    </row>
    <row r="6" spans="2:8" s="77" customFormat="1" ht="14.25" customHeight="1">
      <c r="B6" s="218"/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</row>
    <row r="7" spans="2:8" ht="18.95" customHeight="1">
      <c r="B7" s="56" t="s">
        <v>29</v>
      </c>
      <c r="C7" s="58">
        <v>500</v>
      </c>
      <c r="D7" s="58">
        <v>750</v>
      </c>
      <c r="E7" s="58">
        <v>1000</v>
      </c>
      <c r="F7" s="58">
        <v>1250</v>
      </c>
      <c r="G7" s="58">
        <v>1500</v>
      </c>
      <c r="H7" s="58">
        <v>1750</v>
      </c>
    </row>
    <row r="8" spans="2:8" ht="18.95" customHeight="1">
      <c r="B8" s="56" t="s">
        <v>19</v>
      </c>
      <c r="C8" s="58">
        <v>2000</v>
      </c>
      <c r="D8" s="58">
        <v>2250</v>
      </c>
      <c r="E8" s="58">
        <v>2500</v>
      </c>
      <c r="F8" s="58">
        <v>3000</v>
      </c>
      <c r="G8" s="58">
        <v>3250</v>
      </c>
      <c r="H8" s="58">
        <v>3500</v>
      </c>
    </row>
    <row r="9" spans="2:8" ht="18.95" customHeight="1">
      <c r="B9" s="56" t="s">
        <v>20</v>
      </c>
      <c r="C9" s="58">
        <v>4000</v>
      </c>
      <c r="D9" s="58">
        <v>4500</v>
      </c>
      <c r="E9" s="58">
        <v>5000</v>
      </c>
      <c r="F9" s="58">
        <v>5500</v>
      </c>
      <c r="G9" s="58">
        <v>6000</v>
      </c>
      <c r="H9" s="58">
        <v>6500</v>
      </c>
    </row>
    <row r="10" spans="2:8" ht="18.95" customHeight="1">
      <c r="B10" s="56" t="s">
        <v>21</v>
      </c>
      <c r="C10" s="58">
        <v>7000</v>
      </c>
      <c r="D10" s="58">
        <v>8000</v>
      </c>
      <c r="E10" s="58">
        <v>9000</v>
      </c>
      <c r="F10" s="58">
        <v>10000</v>
      </c>
      <c r="G10" s="58">
        <v>11000</v>
      </c>
      <c r="H10" s="58">
        <v>12000</v>
      </c>
    </row>
    <row r="11" spans="2:8" ht="33.75" customHeight="1">
      <c r="B11" s="54" t="s">
        <v>115</v>
      </c>
      <c r="C11" s="90" t="s">
        <v>116</v>
      </c>
      <c r="D11" s="90" t="s">
        <v>117</v>
      </c>
      <c r="E11" s="197" t="s">
        <v>89</v>
      </c>
      <c r="F11" s="198"/>
      <c r="G11" s="198"/>
      <c r="H11" s="199"/>
    </row>
    <row r="12" spans="2:8" ht="81.75" customHeight="1">
      <c r="B12" s="83" t="s">
        <v>124</v>
      </c>
      <c r="C12" s="58">
        <v>3500</v>
      </c>
      <c r="D12" s="58">
        <v>4000</v>
      </c>
      <c r="E12" s="210" t="s">
        <v>160</v>
      </c>
      <c r="F12" s="211"/>
      <c r="G12" s="211"/>
      <c r="H12" s="212"/>
    </row>
    <row r="13" spans="2:8" ht="24" customHeight="1">
      <c r="B13" s="54" t="s">
        <v>51</v>
      </c>
      <c r="C13" s="85" t="s">
        <v>100</v>
      </c>
      <c r="D13" s="86"/>
      <c r="E13" s="197"/>
      <c r="F13" s="198"/>
      <c r="G13" s="198"/>
      <c r="H13" s="199"/>
    </row>
    <row r="14" spans="2:8" ht="18.95" customHeight="1">
      <c r="B14" s="61" t="s">
        <v>83</v>
      </c>
      <c r="C14" s="58">
        <v>400</v>
      </c>
      <c r="D14" s="200"/>
      <c r="E14" s="203" t="s">
        <v>125</v>
      </c>
      <c r="F14" s="204"/>
      <c r="G14" s="204"/>
      <c r="H14" s="205"/>
    </row>
    <row r="15" spans="2:8" ht="18.95" customHeight="1">
      <c r="B15" s="61" t="s">
        <v>84</v>
      </c>
      <c r="C15" s="58">
        <v>400</v>
      </c>
      <c r="D15" s="201"/>
      <c r="E15" s="207"/>
      <c r="F15" s="208"/>
      <c r="G15" s="208"/>
      <c r="H15" s="209"/>
    </row>
    <row r="16" spans="2:8" ht="18.95" customHeight="1">
      <c r="B16" s="61" t="s">
        <v>85</v>
      </c>
      <c r="C16" s="58">
        <v>1250</v>
      </c>
      <c r="D16" s="202"/>
      <c r="E16" s="214"/>
      <c r="F16" s="215"/>
      <c r="G16" s="215"/>
      <c r="H16" s="216"/>
    </row>
    <row r="17" spans="2:8" ht="38.25" customHeight="1">
      <c r="B17" s="54" t="s">
        <v>81</v>
      </c>
      <c r="C17" s="87" t="s">
        <v>146</v>
      </c>
      <c r="D17" s="87" t="s">
        <v>147</v>
      </c>
      <c r="E17" s="197"/>
      <c r="F17" s="198"/>
      <c r="G17" s="198"/>
      <c r="H17" s="199"/>
    </row>
    <row r="18" spans="2:8" ht="18.95" customHeight="1">
      <c r="B18" s="56" t="s">
        <v>48</v>
      </c>
      <c r="C18" s="58">
        <v>532</v>
      </c>
      <c r="D18" s="58">
        <v>583</v>
      </c>
      <c r="E18" s="203" t="s">
        <v>126</v>
      </c>
      <c r="F18" s="223"/>
      <c r="G18" s="223"/>
      <c r="H18" s="224"/>
    </row>
    <row r="19" spans="2:8" ht="18.95" customHeight="1">
      <c r="B19" s="56" t="s">
        <v>49</v>
      </c>
      <c r="C19" s="58">
        <v>612</v>
      </c>
      <c r="D19" s="58">
        <v>676</v>
      </c>
      <c r="E19" s="225"/>
      <c r="F19" s="226"/>
      <c r="G19" s="226"/>
      <c r="H19" s="227"/>
    </row>
    <row r="20" spans="2:8" ht="18.95" customHeight="1">
      <c r="B20" s="56" t="s">
        <v>54</v>
      </c>
      <c r="C20" s="58">
        <v>490</v>
      </c>
      <c r="D20" s="58">
        <v>520</v>
      </c>
      <c r="E20" s="225"/>
      <c r="F20" s="226"/>
      <c r="G20" s="226"/>
      <c r="H20" s="227"/>
    </row>
    <row r="21" spans="2:8" ht="18.95" customHeight="1">
      <c r="B21" s="56" t="s">
        <v>55</v>
      </c>
      <c r="C21" s="58">
        <v>595</v>
      </c>
      <c r="D21" s="58">
        <v>619</v>
      </c>
      <c r="E21" s="228"/>
      <c r="F21" s="229"/>
      <c r="G21" s="229"/>
      <c r="H21" s="230"/>
    </row>
    <row r="22" spans="2:8" ht="23.25" customHeight="1">
      <c r="B22" s="54" t="s">
        <v>52</v>
      </c>
      <c r="C22" s="85" t="s">
        <v>102</v>
      </c>
      <c r="D22" s="88"/>
      <c r="E22" s="197"/>
      <c r="F22" s="198"/>
      <c r="G22" s="198"/>
      <c r="H22" s="199"/>
    </row>
    <row r="23" spans="2:8" ht="18.95" customHeight="1">
      <c r="B23" s="56" t="s">
        <v>50</v>
      </c>
      <c r="C23" s="58">
        <v>365</v>
      </c>
      <c r="D23" s="200"/>
      <c r="E23" s="203" t="s">
        <v>136</v>
      </c>
      <c r="F23" s="204"/>
      <c r="G23" s="204"/>
      <c r="H23" s="205"/>
    </row>
    <row r="24" spans="2:8" ht="18.95" customHeight="1">
      <c r="B24" s="56" t="s">
        <v>53</v>
      </c>
      <c r="C24" s="58">
        <v>420</v>
      </c>
      <c r="D24" s="201"/>
      <c r="E24" s="207"/>
      <c r="F24" s="208"/>
      <c r="G24" s="208"/>
      <c r="H24" s="209"/>
    </row>
    <row r="25" spans="2:8" ht="18.95" customHeight="1">
      <c r="B25" s="76" t="s">
        <v>106</v>
      </c>
      <c r="C25" s="95">
        <f>+C23+C57</f>
        <v>495</v>
      </c>
      <c r="D25" s="201"/>
      <c r="E25" s="207"/>
      <c r="F25" s="208"/>
      <c r="G25" s="208"/>
      <c r="H25" s="209"/>
    </row>
    <row r="26" spans="2:8" ht="18.95" customHeight="1">
      <c r="B26" s="76" t="s">
        <v>107</v>
      </c>
      <c r="C26" s="95">
        <f>+C23+C58</f>
        <v>565</v>
      </c>
      <c r="D26" s="201"/>
      <c r="E26" s="207"/>
      <c r="F26" s="208"/>
      <c r="G26" s="208"/>
      <c r="H26" s="209"/>
    </row>
    <row r="27" spans="2:8" ht="18.95" customHeight="1">
      <c r="B27" s="76" t="s">
        <v>108</v>
      </c>
      <c r="C27" s="95">
        <f>+C24+C57</f>
        <v>550</v>
      </c>
      <c r="D27" s="201"/>
      <c r="E27" s="207"/>
      <c r="F27" s="208"/>
      <c r="G27" s="208"/>
      <c r="H27" s="209"/>
    </row>
    <row r="28" spans="2:8" ht="18.95" customHeight="1">
      <c r="B28" s="76" t="s">
        <v>122</v>
      </c>
      <c r="C28" s="95">
        <f>+C24+C58</f>
        <v>620</v>
      </c>
      <c r="D28" s="202"/>
      <c r="E28" s="214"/>
      <c r="F28" s="215"/>
      <c r="G28" s="215"/>
      <c r="H28" s="216"/>
    </row>
    <row r="29" spans="2:8" ht="24" customHeight="1">
      <c r="B29" s="54" t="s">
        <v>80</v>
      </c>
      <c r="C29" s="85" t="s">
        <v>103</v>
      </c>
      <c r="D29" s="88"/>
      <c r="E29" s="197"/>
      <c r="F29" s="198"/>
      <c r="G29" s="198"/>
      <c r="H29" s="199"/>
    </row>
    <row r="30" spans="2:8" ht="18.95" customHeight="1">
      <c r="B30" s="56" t="s">
        <v>56</v>
      </c>
      <c r="C30" s="58">
        <v>650</v>
      </c>
      <c r="D30" s="200"/>
      <c r="E30" s="231" t="s">
        <v>153</v>
      </c>
      <c r="F30" s="232"/>
      <c r="G30" s="232"/>
      <c r="H30" s="233"/>
    </row>
    <row r="31" spans="2:8" ht="18.95" customHeight="1">
      <c r="B31" s="76" t="s">
        <v>137</v>
      </c>
      <c r="C31" s="78">
        <f>+C30+D57</f>
        <v>880</v>
      </c>
      <c r="D31" s="201"/>
      <c r="E31" s="234"/>
      <c r="F31" s="235"/>
      <c r="G31" s="235"/>
      <c r="H31" s="236"/>
    </row>
    <row r="32" spans="2:8" ht="18.95" customHeight="1">
      <c r="B32" s="76" t="s">
        <v>138</v>
      </c>
      <c r="C32" s="78">
        <f>+C30+D58</f>
        <v>950</v>
      </c>
      <c r="D32" s="201"/>
      <c r="E32" s="234"/>
      <c r="F32" s="235"/>
      <c r="G32" s="235"/>
      <c r="H32" s="236"/>
    </row>
    <row r="33" spans="2:8" ht="18.95" customHeight="1">
      <c r="B33" s="56" t="s">
        <v>57</v>
      </c>
      <c r="C33" s="58">
        <v>800</v>
      </c>
      <c r="D33" s="201"/>
      <c r="E33" s="234"/>
      <c r="F33" s="235"/>
      <c r="G33" s="235"/>
      <c r="H33" s="236"/>
    </row>
    <row r="34" spans="2:8" ht="18.95" customHeight="1">
      <c r="B34" s="76" t="s">
        <v>139</v>
      </c>
      <c r="C34" s="78">
        <f>+C33+D57</f>
        <v>1030</v>
      </c>
      <c r="D34" s="201"/>
      <c r="E34" s="234"/>
      <c r="F34" s="235"/>
      <c r="G34" s="235"/>
      <c r="H34" s="236"/>
    </row>
    <row r="35" spans="2:8" ht="18.95" customHeight="1">
      <c r="B35" s="76" t="s">
        <v>140</v>
      </c>
      <c r="C35" s="78">
        <f>+C33+D58</f>
        <v>1100</v>
      </c>
      <c r="D35" s="201"/>
      <c r="E35" s="234"/>
      <c r="F35" s="235"/>
      <c r="G35" s="235"/>
      <c r="H35" s="236"/>
    </row>
    <row r="36" spans="2:8" ht="18.95" customHeight="1">
      <c r="B36" s="56" t="s">
        <v>58</v>
      </c>
      <c r="C36" s="58">
        <v>550</v>
      </c>
      <c r="D36" s="201"/>
      <c r="E36" s="234"/>
      <c r="F36" s="235"/>
      <c r="G36" s="235"/>
      <c r="H36" s="236"/>
    </row>
    <row r="37" spans="2:8" ht="18.95" customHeight="1">
      <c r="B37" s="103" t="s">
        <v>149</v>
      </c>
      <c r="C37" s="78">
        <f>+C36+D57</f>
        <v>780</v>
      </c>
      <c r="D37" s="201"/>
      <c r="E37" s="234"/>
      <c r="F37" s="235"/>
      <c r="G37" s="235"/>
      <c r="H37" s="236"/>
    </row>
    <row r="38" spans="2:8" ht="18.95" customHeight="1">
      <c r="B38" s="103" t="s">
        <v>150</v>
      </c>
      <c r="C38" s="78">
        <f>+C36+D58</f>
        <v>850</v>
      </c>
      <c r="D38" s="201"/>
      <c r="E38" s="234"/>
      <c r="F38" s="235"/>
      <c r="G38" s="235"/>
      <c r="H38" s="236"/>
    </row>
    <row r="39" spans="2:8" ht="18.95" customHeight="1">
      <c r="B39" s="56" t="s">
        <v>59</v>
      </c>
      <c r="C39" s="58">
        <v>650</v>
      </c>
      <c r="D39" s="201"/>
      <c r="E39" s="234"/>
      <c r="F39" s="235"/>
      <c r="G39" s="235"/>
      <c r="H39" s="236"/>
    </row>
    <row r="40" spans="2:8" ht="18.95" customHeight="1">
      <c r="B40" s="103" t="s">
        <v>151</v>
      </c>
      <c r="C40" s="78">
        <f>+C39+D57</f>
        <v>880</v>
      </c>
      <c r="D40" s="201"/>
      <c r="E40" s="234"/>
      <c r="F40" s="235"/>
      <c r="G40" s="235"/>
      <c r="H40" s="236"/>
    </row>
    <row r="41" spans="2:8" ht="18.95" customHeight="1">
      <c r="B41" s="103" t="s">
        <v>152</v>
      </c>
      <c r="C41" s="78">
        <f>+C39+D58</f>
        <v>950</v>
      </c>
      <c r="D41" s="202"/>
      <c r="E41" s="237"/>
      <c r="F41" s="238"/>
      <c r="G41" s="238"/>
      <c r="H41" s="239"/>
    </row>
    <row r="42" spans="2:8" ht="22.5" customHeight="1">
      <c r="B42" s="54" t="s">
        <v>79</v>
      </c>
      <c r="C42" s="85" t="s">
        <v>103</v>
      </c>
      <c r="D42" s="86"/>
      <c r="E42" s="197"/>
      <c r="F42" s="198"/>
      <c r="G42" s="198"/>
      <c r="H42" s="199"/>
    </row>
    <row r="43" spans="2:8" ht="18.95" customHeight="1">
      <c r="B43" s="56" t="s">
        <v>60</v>
      </c>
      <c r="C43" s="58">
        <v>675</v>
      </c>
      <c r="D43" s="200"/>
      <c r="E43" s="203" t="s">
        <v>127</v>
      </c>
      <c r="F43" s="204"/>
      <c r="G43" s="204"/>
      <c r="H43" s="205"/>
    </row>
    <row r="44" spans="2:8" ht="18.95" customHeight="1">
      <c r="B44" s="56" t="s">
        <v>61</v>
      </c>
      <c r="C44" s="58">
        <v>745</v>
      </c>
      <c r="D44" s="201"/>
      <c r="E44" s="207"/>
      <c r="F44" s="208"/>
      <c r="G44" s="208"/>
      <c r="H44" s="209"/>
    </row>
    <row r="45" spans="2:8" ht="18.95" customHeight="1">
      <c r="B45" s="56" t="s">
        <v>62</v>
      </c>
      <c r="C45" s="58">
        <v>835</v>
      </c>
      <c r="D45" s="201"/>
      <c r="E45" s="207"/>
      <c r="F45" s="208"/>
      <c r="G45" s="208"/>
      <c r="H45" s="209"/>
    </row>
    <row r="46" spans="2:8" ht="18.95" customHeight="1">
      <c r="B46" s="56" t="s">
        <v>63</v>
      </c>
      <c r="C46" s="58">
        <v>975</v>
      </c>
      <c r="D46" s="202"/>
      <c r="E46" s="214"/>
      <c r="F46" s="215"/>
      <c r="G46" s="215"/>
      <c r="H46" s="216"/>
    </row>
    <row r="47" spans="2:8" ht="24.75" customHeight="1">
      <c r="B47" s="54" t="s">
        <v>27</v>
      </c>
      <c r="C47" s="85" t="s">
        <v>104</v>
      </c>
      <c r="D47" s="86"/>
      <c r="E47" s="197"/>
      <c r="F47" s="198"/>
      <c r="G47" s="198"/>
      <c r="H47" s="199"/>
    </row>
    <row r="48" spans="2:8" ht="18.95" customHeight="1">
      <c r="B48" s="56" t="s">
        <v>64</v>
      </c>
      <c r="C48" s="58">
        <v>2000</v>
      </c>
      <c r="D48" s="200"/>
      <c r="E48" s="206"/>
      <c r="F48" s="204"/>
      <c r="G48" s="204"/>
      <c r="H48" s="205"/>
    </row>
    <row r="49" spans="2:8" ht="18.95" customHeight="1">
      <c r="B49" s="56" t="s">
        <v>65</v>
      </c>
      <c r="C49" s="58">
        <v>4000</v>
      </c>
      <c r="D49" s="201"/>
      <c r="E49" s="207"/>
      <c r="F49" s="208"/>
      <c r="G49" s="208"/>
      <c r="H49" s="209"/>
    </row>
    <row r="50" spans="2:8" ht="18.95" customHeight="1">
      <c r="B50" s="56" t="s">
        <v>66</v>
      </c>
      <c r="C50" s="58">
        <v>6500</v>
      </c>
      <c r="D50" s="202"/>
      <c r="E50" s="214"/>
      <c r="F50" s="215"/>
      <c r="G50" s="215"/>
      <c r="H50" s="216"/>
    </row>
    <row r="51" spans="2:8" ht="20.100000000000001" customHeight="1">
      <c r="B51" s="54" t="s">
        <v>28</v>
      </c>
      <c r="C51" s="85" t="s">
        <v>105</v>
      </c>
      <c r="D51" s="86"/>
      <c r="E51" s="197"/>
      <c r="F51" s="198"/>
      <c r="G51" s="198"/>
      <c r="H51" s="199"/>
    </row>
    <row r="52" spans="2:8" ht="18.95" customHeight="1">
      <c r="B52" s="56" t="s">
        <v>67</v>
      </c>
      <c r="C52" s="58">
        <v>7000</v>
      </c>
      <c r="D52" s="200"/>
      <c r="E52" s="206"/>
      <c r="F52" s="204"/>
      <c r="G52" s="204"/>
      <c r="H52" s="205"/>
    </row>
    <row r="53" spans="2:8" ht="18.95" customHeight="1">
      <c r="B53" s="56" t="s">
        <v>68</v>
      </c>
      <c r="C53" s="58">
        <v>18000</v>
      </c>
      <c r="D53" s="201"/>
      <c r="E53" s="207"/>
      <c r="F53" s="208"/>
      <c r="G53" s="208"/>
      <c r="H53" s="209"/>
    </row>
    <row r="54" spans="2:8" ht="18.95" customHeight="1">
      <c r="B54" s="74" t="s">
        <v>97</v>
      </c>
      <c r="C54" s="58">
        <v>20000</v>
      </c>
      <c r="D54" s="201"/>
      <c r="E54" s="207"/>
      <c r="F54" s="208"/>
      <c r="G54" s="208"/>
      <c r="H54" s="209"/>
    </row>
    <row r="55" spans="2:8" ht="18.95" customHeight="1">
      <c r="B55" s="56" t="s">
        <v>69</v>
      </c>
      <c r="C55" s="58">
        <v>30000</v>
      </c>
      <c r="D55" s="202"/>
      <c r="E55" s="207"/>
      <c r="F55" s="208"/>
      <c r="G55" s="208"/>
      <c r="H55" s="209"/>
    </row>
    <row r="56" spans="2:8" ht="21" customHeight="1">
      <c r="B56" s="54" t="s">
        <v>131</v>
      </c>
      <c r="C56" s="85" t="s">
        <v>134</v>
      </c>
      <c r="D56" s="85" t="s">
        <v>141</v>
      </c>
      <c r="E56" s="197"/>
      <c r="F56" s="198"/>
      <c r="G56" s="198"/>
      <c r="H56" s="199"/>
    </row>
    <row r="57" spans="2:8" ht="18" customHeight="1">
      <c r="B57" s="76" t="s">
        <v>129</v>
      </c>
      <c r="C57" s="120">
        <v>130</v>
      </c>
      <c r="D57" s="120">
        <v>230</v>
      </c>
      <c r="E57" s="203" t="s">
        <v>135</v>
      </c>
      <c r="F57" s="204"/>
      <c r="G57" s="204"/>
      <c r="H57" s="205"/>
    </row>
    <row r="58" spans="2:8" ht="18" customHeight="1">
      <c r="B58" s="76" t="s">
        <v>130</v>
      </c>
      <c r="C58" s="120">
        <v>200</v>
      </c>
      <c r="D58" s="120">
        <v>300</v>
      </c>
      <c r="E58" s="203" t="s">
        <v>135</v>
      </c>
      <c r="F58" s="204"/>
      <c r="G58" s="204"/>
      <c r="H58" s="205"/>
    </row>
    <row r="59" spans="2:8" ht="15" customHeight="1">
      <c r="B59" s="194" t="s">
        <v>89</v>
      </c>
      <c r="C59" s="195"/>
      <c r="D59" s="195"/>
      <c r="E59" s="195"/>
      <c r="F59" s="195"/>
      <c r="G59" s="195"/>
      <c r="H59" s="196"/>
    </row>
    <row r="60" spans="2:8" ht="14.25" customHeight="1">
      <c r="B60" s="114" t="s">
        <v>111</v>
      </c>
      <c r="C60" s="115"/>
      <c r="D60" s="115"/>
      <c r="E60" s="115"/>
      <c r="F60" s="115"/>
      <c r="G60" s="115"/>
      <c r="H60" s="116" t="s">
        <v>156</v>
      </c>
    </row>
    <row r="61" spans="2:8" ht="9" customHeight="1"/>
    <row r="62" spans="2:8" ht="18" customHeight="1"/>
    <row r="63" spans="2:8" ht="18" customHeight="1"/>
    <row r="64" spans="2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</sheetData>
  <sheetProtection password="CC77" sheet="1" objects="1" scenarios="1" selectLockedCells="1"/>
  <mergeCells count="29">
    <mergeCell ref="D23:D28"/>
    <mergeCell ref="E23:H28"/>
    <mergeCell ref="C4:H4"/>
    <mergeCell ref="B5:B6"/>
    <mergeCell ref="C5:H5"/>
    <mergeCell ref="E11:H11"/>
    <mergeCell ref="E12:H12"/>
    <mergeCell ref="E13:H13"/>
    <mergeCell ref="D14:D16"/>
    <mergeCell ref="E14:H16"/>
    <mergeCell ref="E17:H17"/>
    <mergeCell ref="E18:H21"/>
    <mergeCell ref="E22:H22"/>
    <mergeCell ref="E29:H29"/>
    <mergeCell ref="D30:D41"/>
    <mergeCell ref="E30:H41"/>
    <mergeCell ref="E42:H42"/>
    <mergeCell ref="D43:D46"/>
    <mergeCell ref="E43:H46"/>
    <mergeCell ref="E56:H56"/>
    <mergeCell ref="E57:H57"/>
    <mergeCell ref="E58:H58"/>
    <mergeCell ref="B59:H59"/>
    <mergeCell ref="E47:H47"/>
    <mergeCell ref="D48:D50"/>
    <mergeCell ref="E48:H50"/>
    <mergeCell ref="E51:H51"/>
    <mergeCell ref="D52:D55"/>
    <mergeCell ref="E52:H55"/>
  </mergeCells>
  <printOptions horizontalCentered="1"/>
  <pageMargins left="0.55118110236220474" right="0.59055118110236227" top="0.46" bottom="0.56999999999999995" header="0.31496062992125984" footer="0.44"/>
  <pageSetup scale="55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Comparativa</vt:lpstr>
      <vt:lpstr>Calculadora</vt:lpstr>
      <vt:lpstr>Base de Datos</vt:lpstr>
      <vt:lpstr>BD Respaldo</vt:lpstr>
      <vt:lpstr>'Base de Datos'!Área_de_impresión</vt:lpstr>
      <vt:lpstr>'BD Respaldo'!Área_de_impresión</vt:lpstr>
      <vt:lpstr>Calculadora!Área_de_impresión</vt:lpstr>
      <vt:lpstr>Blanco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Lozano</dc:creator>
  <cp:lastModifiedBy>miguel fuentes</cp:lastModifiedBy>
  <cp:lastPrinted>2012-12-13T01:12:43Z</cp:lastPrinted>
  <dcterms:created xsi:type="dcterms:W3CDTF">2012-09-24T20:41:55Z</dcterms:created>
  <dcterms:modified xsi:type="dcterms:W3CDTF">2013-10-21T12:40:02Z</dcterms:modified>
</cp:coreProperties>
</file>